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90" yWindow="0" windowWidth="11715" windowHeight="12330" activeTab="7"/>
  </bookViews>
  <sheets>
    <sheet name="Summary" sheetId="1" r:id="rId1"/>
    <sheet name="O&amp;M Expenses" sheetId="7" r:id="rId2"/>
    <sheet name="NTI" sheetId="14" r:id="rId3"/>
    <sheet name="RoE" sheetId="3" r:id="rId4"/>
    <sheet name="Interest and finance charges " sheetId="4" r:id="rId5"/>
    <sheet name="Interest on Working Capital" sheetId="5" r:id="rId6"/>
    <sheet name="CPI-WPI" sheetId="6" state="hidden" r:id="rId7"/>
    <sheet name="Actual Loans" sheetId="8" r:id="rId8"/>
    <sheet name="Fixed Assets" sheetId="10" state="hidden" r:id="rId9"/>
    <sheet name="Depreciation Calculation" sheetId="11" state="hidden" r:id="rId10"/>
    <sheet name="Dep. Schedule" sheetId="12" state="hidden" r:id="rId11"/>
    <sheet name="SP_Wheeling" sheetId="13" state="hidden" r:id="rId12"/>
    <sheet name="Sheet1" sheetId="9" state="hidden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_Apr03">[1]Newabstract!#REF!</definedName>
    <definedName name="___Apr04">[1]Newabstract!#REF!</definedName>
    <definedName name="___Apr05">[1]Newabstract!#REF!</definedName>
    <definedName name="___Apr06">[1]Newabstract!#REF!</definedName>
    <definedName name="___Apr07">[1]Newabstract!#REF!</definedName>
    <definedName name="___Apr08">[1]Newabstract!#REF!</definedName>
    <definedName name="___Apr09">[1]Newabstract!#REF!</definedName>
    <definedName name="___Apr10">[1]Newabstract!#REF!</definedName>
    <definedName name="___Apr11">[1]Newabstract!#REF!</definedName>
    <definedName name="___Apr13">[1]Newabstract!#REF!</definedName>
    <definedName name="___Apr14">[1]Newabstract!#REF!</definedName>
    <definedName name="___Apr15">[1]Newabstract!#REF!</definedName>
    <definedName name="___Apr16">[1]Newabstract!#REF!</definedName>
    <definedName name="___Apr17">[1]Newabstract!#REF!</definedName>
    <definedName name="___Apr20">[1]Newabstract!#REF!</definedName>
    <definedName name="___Apr21">[1]Newabstract!#REF!</definedName>
    <definedName name="___Apr22">[1]Newabstract!#REF!</definedName>
    <definedName name="___Apr23">[1]Newabstract!#REF!</definedName>
    <definedName name="___Apr24">[1]Newabstract!#REF!</definedName>
    <definedName name="___Apr27">[1]Newabstract!#REF!</definedName>
    <definedName name="___Apr28">[1]Newabstract!#REF!</definedName>
    <definedName name="___Apr29">[1]Newabstract!#REF!</definedName>
    <definedName name="___Apr30">[1]Newabstract!#REF!</definedName>
    <definedName name="___Mar06">[1]Newabstract!#REF!</definedName>
    <definedName name="___Mar09">[1]Newabstract!#REF!</definedName>
    <definedName name="___Mar10">[1]Newabstract!#REF!</definedName>
    <definedName name="___Mar11">[1]Newabstract!#REF!</definedName>
    <definedName name="___Mar12">[1]Newabstract!#REF!</definedName>
    <definedName name="___Mar13">[1]Newabstract!#REF!</definedName>
    <definedName name="___Mar16">[1]Newabstract!#REF!</definedName>
    <definedName name="___Mar17">[1]Newabstract!#REF!</definedName>
    <definedName name="___Mar18">[1]Newabstract!#REF!</definedName>
    <definedName name="___Mar19">[1]Newabstract!#REF!</definedName>
    <definedName name="___Mar20">[1]Newabstract!#REF!</definedName>
    <definedName name="___Mar23">[1]Newabstract!#REF!</definedName>
    <definedName name="___Mar24">[1]Newabstract!#REF!</definedName>
    <definedName name="___Mar25">[1]Newabstract!#REF!</definedName>
    <definedName name="___Mar26">[1]Newabstract!#REF!</definedName>
    <definedName name="___Mar27">[1]Newabstract!#REF!</definedName>
    <definedName name="___Mar28">[1]Newabstract!#REF!</definedName>
    <definedName name="___Mar30">[1]Newabstract!#REF!</definedName>
    <definedName name="___Mar31">[1]Newabstract!#REF!</definedName>
    <definedName name="__A1000000">#REF!</definedName>
    <definedName name="__Apr02">'[2]MO EY'!$A$11:$F$45</definedName>
    <definedName name="__BSD1">#REF!</definedName>
    <definedName name="__BSD2">#REF!</definedName>
    <definedName name="__IED1">#REF!</definedName>
    <definedName name="__IED2">#REF!</definedName>
    <definedName name="__s1" localSheetId="4" hidden="1">{"pl_t&amp;d",#N/A,FALSE,"p&amp;l_t&amp;D_01_02 (2)"}</definedName>
    <definedName name="__s1" hidden="1">{"pl_t&amp;d",#N/A,FALSE,"p&amp;l_t&amp;D_01_02 (2)"}</definedName>
    <definedName name="_A1000000">#REF!</definedName>
    <definedName name="_Apr02">[1]Newabstract!#REF!</definedName>
    <definedName name="_Apr03">[1]Newabstract!#REF!</definedName>
    <definedName name="_Apr04">[1]Newabstract!#REF!</definedName>
    <definedName name="_Apr05">[1]Newabstract!#REF!</definedName>
    <definedName name="_Apr06">[1]Newabstract!#REF!</definedName>
    <definedName name="_Apr07">[1]Newabstract!#REF!</definedName>
    <definedName name="_Apr08">[1]Newabstract!#REF!</definedName>
    <definedName name="_Apr09">[1]Newabstract!#REF!</definedName>
    <definedName name="_Apr10">[1]Newabstract!#REF!</definedName>
    <definedName name="_Apr11">[1]Newabstract!#REF!</definedName>
    <definedName name="_Apr13">[1]Newabstract!#REF!</definedName>
    <definedName name="_Apr14">[1]Newabstract!#REF!</definedName>
    <definedName name="_Apr15">[1]Newabstract!#REF!</definedName>
    <definedName name="_Apr16">[1]Newabstract!#REF!</definedName>
    <definedName name="_Apr17">[1]Newabstract!#REF!</definedName>
    <definedName name="_Apr20">[1]Newabstract!#REF!</definedName>
    <definedName name="_Apr21">[1]Newabstract!#REF!</definedName>
    <definedName name="_Apr22">[1]Newabstract!#REF!</definedName>
    <definedName name="_Apr23">[1]Newabstract!#REF!</definedName>
    <definedName name="_Apr24">[1]Newabstract!#REF!</definedName>
    <definedName name="_Apr27">[1]Newabstract!#REF!</definedName>
    <definedName name="_Apr28">[1]Newabstract!#REF!</definedName>
    <definedName name="_Apr29">[1]Newabstract!#REF!</definedName>
    <definedName name="_Apr30">[1]Newabstract!#REF!</definedName>
    <definedName name="_Aug02">'[2]MO EY'!$AC$11:$AH$45</definedName>
    <definedName name="_B1" localSheetId="4" hidden="1">{"pl_t&amp;d",#N/A,FALSE,"p&amp;l_t&amp;D_01_02 (2)"}</definedName>
    <definedName name="_B1" hidden="1">{"pl_t&amp;d",#N/A,FALSE,"p&amp;l_t&amp;D_01_02 (2)"}</definedName>
    <definedName name="_BSD1" localSheetId="9">#N/A</definedName>
    <definedName name="_BSD1" localSheetId="8">#N/A</definedName>
    <definedName name="_BSD1">#REF!</definedName>
    <definedName name="_BSD2" localSheetId="9">#N/A</definedName>
    <definedName name="_BSD2" localSheetId="8">#N/A</definedName>
    <definedName name="_BSD2">#REF!</definedName>
    <definedName name="_Dec01">'[2]MO CY'!$O$11:$T$45</definedName>
    <definedName name="_Dec02">'[2]MO EY'!$BE$11:$BJ$45</definedName>
    <definedName name="_Feb02">'[2]MO CY'!$AC$11:$AH$45</definedName>
    <definedName name="_Feb03">'[2]MO EY'!$BS$11:$BX$45</definedName>
    <definedName name="_IED1">#REF!</definedName>
    <definedName name="_IED2" localSheetId="9">#N/A</definedName>
    <definedName name="_IED2" localSheetId="8">#N/A</definedName>
    <definedName name="_IED2">#REF!</definedName>
    <definedName name="_j3" localSheetId="4" hidden="1">{"pl_t&amp;d",#N/A,FALSE,"p&amp;l_t&amp;D_01_02 (2)"}</definedName>
    <definedName name="_j3" hidden="1">{"pl_t&amp;d",#N/A,FALSE,"p&amp;l_t&amp;D_01_02 (2)"}</definedName>
    <definedName name="_j4" localSheetId="4" hidden="1">{"pl_t&amp;d",#N/A,FALSE,"p&amp;l_t&amp;D_01_02 (2)"}</definedName>
    <definedName name="_j4" hidden="1">{"pl_t&amp;d",#N/A,FALSE,"p&amp;l_t&amp;D_01_02 (2)"}</definedName>
    <definedName name="_j5" localSheetId="4" hidden="1">{"pl_t&amp;d",#N/A,FALSE,"p&amp;l_t&amp;D_01_02 (2)"}</definedName>
    <definedName name="_j5" hidden="1">{"pl_t&amp;d",#N/A,FALSE,"p&amp;l_t&amp;D_01_02 (2)"}</definedName>
    <definedName name="_Jan02">'[2]MO CY'!$V$11:$AA$45</definedName>
    <definedName name="_Jan03">'[2]MO EY'!$BL$11:$BQ$45</definedName>
    <definedName name="_Jul02">'[2]MO EY'!$V$11:$AA$45</definedName>
    <definedName name="_Jun02">'[2]MO EY'!$O$11:$T$45</definedName>
    <definedName name="_k1" localSheetId="4" hidden="1">{"pl_t&amp;d",#N/A,FALSE,"p&amp;l_t&amp;D_01_02 (2)"}</definedName>
    <definedName name="_k1" hidden="1">{"pl_t&amp;d",#N/A,FALSE,"p&amp;l_t&amp;D_01_02 (2)"}</definedName>
    <definedName name="_Mar02">'[2]MO CY'!$AJ$11:$AO$45</definedName>
    <definedName name="_Mar03">'[2]MO EY'!$BZ$11:$CE$45</definedName>
    <definedName name="_Mar06">[1]Newabstract!#REF!</definedName>
    <definedName name="_Mar09">[1]Newabstract!#REF!</definedName>
    <definedName name="_Mar10">[1]Newabstract!#REF!</definedName>
    <definedName name="_Mar11">[1]Newabstract!#REF!</definedName>
    <definedName name="_Mar12">[1]Newabstract!#REF!</definedName>
    <definedName name="_Mar13">[1]Newabstract!#REF!</definedName>
    <definedName name="_Mar16">[1]Newabstract!#REF!</definedName>
    <definedName name="_Mar17">[1]Newabstract!#REF!</definedName>
    <definedName name="_Mar18">[1]Newabstract!#REF!</definedName>
    <definedName name="_Mar19">[1]Newabstract!#REF!</definedName>
    <definedName name="_Mar20">[1]Newabstract!#REF!</definedName>
    <definedName name="_Mar23">[1]Newabstract!#REF!</definedName>
    <definedName name="_Mar24">[1]Newabstract!#REF!</definedName>
    <definedName name="_Mar25">[1]Newabstract!#REF!</definedName>
    <definedName name="_Mar26">[1]Newabstract!#REF!</definedName>
    <definedName name="_Mar27">[1]Newabstract!#REF!</definedName>
    <definedName name="_Mar28">[1]Newabstract!#REF!</definedName>
    <definedName name="_Mar30">[1]Newabstract!#REF!</definedName>
    <definedName name="_Mar31">[1]Newabstract!#REF!</definedName>
    <definedName name="_May02">'[2]MO EY'!$H$11:$M$45</definedName>
    <definedName name="_no1" localSheetId="4" hidden="1">{"pl_t&amp;d",#N/A,FALSE,"p&amp;l_t&amp;D_01_02 (2)"}</definedName>
    <definedName name="_no1" hidden="1">{"pl_t&amp;d",#N/A,FALSE,"p&amp;l_t&amp;D_01_02 (2)"}</definedName>
    <definedName name="_not1" localSheetId="4" hidden="1">{"pl_t&amp;d",#N/A,FALSE,"p&amp;l_t&amp;D_01_02 (2)"}</definedName>
    <definedName name="_not1" hidden="1">{"pl_t&amp;d",#N/A,FALSE,"p&amp;l_t&amp;D_01_02 (2)"}</definedName>
    <definedName name="_Nov01">'[2]MO CY'!$H$11:$M$45</definedName>
    <definedName name="_Nov02">'[2]MO EY'!$AX$11:$BC$45</definedName>
    <definedName name="_Oct01">'[2]MO CY'!$A$11:$F$45</definedName>
    <definedName name="_Oct02">'[2]MO EY'!$AQ$11:$AV$45</definedName>
    <definedName name="_p1" localSheetId="4" hidden="1">{"pl_t&amp;d",#N/A,FALSE,"p&amp;l_t&amp;D_01_02 (2)"}</definedName>
    <definedName name="_p1" hidden="1">{"pl_t&amp;d",#N/A,FALSE,"p&amp;l_t&amp;D_01_02 (2)"}</definedName>
    <definedName name="_p2" localSheetId="4" hidden="1">{"pl_td_01_02",#N/A,FALSE,"p&amp;l_t&amp;D_01_02 (2)"}</definedName>
    <definedName name="_p2" hidden="1">{"pl_td_01_02",#N/A,FALSE,"p&amp;l_t&amp;D_01_02 (2)"}</definedName>
    <definedName name="_p3" localSheetId="4" hidden="1">{"pl_t&amp;d",#N/A,FALSE,"p&amp;l_t&amp;D_01_02 (2)"}</definedName>
    <definedName name="_p3" hidden="1">{"pl_t&amp;d",#N/A,FALSE,"p&amp;l_t&amp;D_01_02 (2)"}</definedName>
    <definedName name="_p4" localSheetId="4" hidden="1">{"pl_t&amp;d",#N/A,FALSE,"p&amp;l_t&amp;D_01_02 (2)"}</definedName>
    <definedName name="_p4" hidden="1">{"pl_t&amp;d",#N/A,FALSE,"p&amp;l_t&amp;D_01_02 (2)"}</definedName>
    <definedName name="_q2" localSheetId="4" hidden="1">{"pl_t&amp;d",#N/A,FALSE,"p&amp;l_t&amp;D_01_02 (2)"}</definedName>
    <definedName name="_q2" hidden="1">{"pl_t&amp;d",#N/A,FALSE,"p&amp;l_t&amp;D_01_02 (2)"}</definedName>
    <definedName name="_q3" localSheetId="4" hidden="1">{"pl_t&amp;d",#N/A,FALSE,"p&amp;l_t&amp;D_01_02 (2)"}</definedName>
    <definedName name="_q3" hidden="1">{"pl_t&amp;d",#N/A,FALSE,"p&amp;l_t&amp;D_01_02 (2)"}</definedName>
    <definedName name="_s1" localSheetId="4" hidden="1">{"pl_t&amp;d",#N/A,FALSE,"p&amp;l_t&amp;D_01_02 (2)"}</definedName>
    <definedName name="_s1" hidden="1">{"pl_t&amp;d",#N/A,FALSE,"p&amp;l_t&amp;D_01_02 (2)"}</definedName>
    <definedName name="_s2" localSheetId="4" hidden="1">{"pl_t&amp;d",#N/A,FALSE,"p&amp;l_t&amp;D_01_02 (2)"}</definedName>
    <definedName name="_s2" hidden="1">{"pl_t&amp;d",#N/A,FALSE,"p&amp;l_t&amp;D_01_02 (2)"}</definedName>
    <definedName name="_Sep02">'[2]MO EY'!$AJ$11:$AO$45</definedName>
    <definedName name="a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a" localSheetId="4" hidden="1">{"pl_t&amp;d",#N/A,FALSE,"p&amp;l_t&amp;D_01_02 (2)"}</definedName>
    <definedName name="aa" hidden="1">{"pl_t&amp;d",#N/A,FALSE,"p&amp;l_t&amp;D_01_02 (2)"}</definedName>
    <definedName name="abb" localSheetId="4" hidden="1">{"pl_t&amp;d",#N/A,FALSE,"p&amp;l_t&amp;D_01_02 (2)"}</definedName>
    <definedName name="abb" hidden="1">{"pl_t&amp;d",#N/A,FALSE,"p&amp;l_t&amp;D_01_02 (2)"}</definedName>
    <definedName name="abc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bc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bstractsales">#REF!</definedName>
    <definedName name="abx" localSheetId="4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db" localSheetId="4" hidden="1">{"pl_t&amp;d",#N/A,FALSE,"p&amp;l_t&amp;D_01_02 (2)"}</definedName>
    <definedName name="adb" hidden="1">{"pl_t&amp;d",#N/A,FALSE,"p&amp;l_t&amp;D_01_02 (2)"}</definedName>
    <definedName name="adherance" localSheetId="4" hidden="1">{"pl_t&amp;d",#N/A,FALSE,"p&amp;l_t&amp;D_01_02 (2)"}</definedName>
    <definedName name="adherance" hidden="1">{"pl_t&amp;d",#N/A,FALSE,"p&amp;l_t&amp;D_01_02 (2)"}</definedName>
    <definedName name="agri">#REF!</definedName>
    <definedName name="ALL_EXP">#REF!</definedName>
    <definedName name="amar" localSheetId="4" hidden="1">{"pl_t&amp;d",#N/A,FALSE,"p&amp;l_t&amp;D_01_02 (2)"}</definedName>
    <definedName name="amar" hidden="1">{"pl_t&amp;d",#N/A,FALSE,"p&amp;l_t&amp;D_01_02 (2)"}</definedName>
    <definedName name="AMARNATH" localSheetId="4" hidden="1">{"pl_t&amp;d",#N/A,FALSE,"p&amp;l_t&amp;D_01_02 (2)"}</definedName>
    <definedName name="AMARNATH" hidden="1">{"pl_t&amp;d",#N/A,FALSE,"p&amp;l_t&amp;D_01_02 (2)"}</definedName>
    <definedName name="an" localSheetId="4" hidden="1">{"pl_t&amp;d",#N/A,FALSE,"p&amp;l_t&amp;D_01_02 (2)"}</definedName>
    <definedName name="an" hidden="1">{"pl_t&amp;d",#N/A,FALSE,"p&amp;l_t&amp;D_01_02 (2)"}</definedName>
    <definedName name="Annexure" localSheetId="4" hidden="1">{"pl_t&amp;d",#N/A,FALSE,"p&amp;l_t&amp;D_01_02 (2)"}</definedName>
    <definedName name="Annexure" hidden="1">{"pl_t&amp;d",#N/A,FALSE,"p&amp;l_t&amp;D_01_02 (2)"}</definedName>
    <definedName name="aug" localSheetId="4" hidden="1">{"pl_t&amp;d",#N/A,FALSE,"p&amp;l_t&amp;D_01_02 (2)"}</definedName>
    <definedName name="aug" hidden="1">{"pl_t&amp;d",#N/A,FALSE,"p&amp;l_t&amp;D_01_02 (2)"}</definedName>
    <definedName name="b" localSheetId="4" hidden="1">{"pl_t&amp;d",#N/A,FALSE,"p&amp;l_t&amp;D_01_02 (2)"}</definedName>
    <definedName name="b" hidden="1">{"pl_t&amp;d",#N/A,FALSE,"p&amp;l_t&amp;D_01_02 (2)"}</definedName>
    <definedName name="Business_Unit">[3]RevenueInput!#REF!</definedName>
    <definedName name="CASE" localSheetId="4" hidden="1">{"pl_t&amp;d",#N/A,FALSE,"p&amp;l_t&amp;D_01_02 (2)"}</definedName>
    <definedName name="CASE" hidden="1">{"pl_t&amp;d",#N/A,FALSE,"p&amp;l_t&amp;D_01_02 (2)"}</definedName>
    <definedName name="ChallanSrnoList">[4]Challan!$A$7:$A$50</definedName>
    <definedName name="Circle1" localSheetId="4" hidden="1">{"pl_t&amp;d",#N/A,FALSE,"p&amp;l_t&amp;D_01_02 (2)"}</definedName>
    <definedName name="Circle1" hidden="1">{"pl_t&amp;d",#N/A,FALSE,"p&amp;l_t&amp;D_01_02 (2)"}</definedName>
    <definedName name="cmb_FBI.EmployeesInOutIndiaFlg">#REF!</definedName>
    <definedName name="cmb_FBI.SeparateAcntMaintainForIndiaForeignFlg">#REF!</definedName>
    <definedName name="cmbyn">#REF!</definedName>
    <definedName name="comm">#REF!</definedName>
    <definedName name="CompanyName">[3]cover1!$A$34</definedName>
    <definedName name="COPY" localSheetId="4" hidden="1">{"pl_t&amp;d",#N/A,FALSE,"p&amp;l_t&amp;D_01_02 (2)"}</definedName>
    <definedName name="COPY" hidden="1">{"pl_t&amp;d",#N/A,FALSE,"p&amp;l_t&amp;D_01_02 (2)"}</definedName>
    <definedName name="crore">[5]General!$A$7</definedName>
    <definedName name="D" localSheetId="4">{"pl_t&amp;d",#N/A,FALSE,"p&amp;l_t&amp;D_01_02 (2)"}</definedName>
    <definedName name="D">{"pl_t&amp;d",#N/A,FALSE,"p&amp;l_t&amp;D_01_02 (2)"}</definedName>
    <definedName name="DATA1">[6]Sheet1!#REF!</definedName>
    <definedName name="_xlnm.Database">#REF!</definedName>
    <definedName name="DD" localSheetId="4" hidden="1">{"pl_t&amp;d",#N/A,FALSE,"p&amp;l_t&amp;D_01_02 (2)"}</definedName>
    <definedName name="DD" hidden="1">{"pl_t&amp;d",#N/A,FALSE,"p&amp;l_t&amp;D_01_02 (2)"}</definedName>
    <definedName name="Demand" localSheetId="4" hidden="1">{"pl_t&amp;d",#N/A,FALSE,"p&amp;l_t&amp;D_01_02 (2)"}</definedName>
    <definedName name="Demand" hidden="1">{"pl_t&amp;d",#N/A,FALSE,"p&amp;l_t&amp;D_01_02 (2)"}</definedName>
    <definedName name="dfdfd" localSheetId="4" hidden="1">{"pl_t&amp;d",#N/A,FALSE,"p&amp;l_t&amp;D_01_02 (2)"}</definedName>
    <definedName name="dfdfd" hidden="1">{"pl_t&amp;d",#N/A,FALSE,"p&amp;l_t&amp;D_01_02 (2)"}</definedName>
    <definedName name="dfdfdf" localSheetId="4" hidden="1">{"pl_t&amp;d",#N/A,FALSE,"p&amp;l_t&amp;D_01_02 (2)"}</definedName>
    <definedName name="dfdfdf" hidden="1">{"pl_t&amp;d",#N/A,FALSE,"p&amp;l_t&amp;D_01_02 (2)"}</definedName>
    <definedName name="dfdfdfd" localSheetId="4" hidden="1">{"pl_t&amp;d",#N/A,FALSE,"p&amp;l_t&amp;D_01_02 (2)"}</definedName>
    <definedName name="dfdfdfd" hidden="1">{"pl_t&amp;d",#N/A,FALSE,"p&amp;l_t&amp;D_01_02 (2)"}</definedName>
    <definedName name="dgh" localSheetId="4" hidden="1">{"pl_t&amp;d",#N/A,FALSE,"p&amp;l_t&amp;D_01_02 (2)"}</definedName>
    <definedName name="dgh" hidden="1">{"pl_t&amp;d",#N/A,FALSE,"p&amp;l_t&amp;D_01_02 (2)"}</definedName>
    <definedName name="discom_engbal">[7]Energy_bal!#REF!</definedName>
    <definedName name="Discom1F1" localSheetId="9">#N/A</definedName>
    <definedName name="Discom1F1" localSheetId="8">#N/A</definedName>
    <definedName name="Discom1F1">#REF!</definedName>
    <definedName name="Discom1F2" localSheetId="9">#N/A</definedName>
    <definedName name="Discom1F2" localSheetId="8">#N/A</definedName>
    <definedName name="Discom1F2">#REF!</definedName>
    <definedName name="Discom1F3" localSheetId="9">#N/A</definedName>
    <definedName name="Discom1F3" localSheetId="8">#N/A</definedName>
    <definedName name="Discom1F3">#REF!</definedName>
    <definedName name="Discom1F4" localSheetId="9">#N/A</definedName>
    <definedName name="Discom1F4" localSheetId="8">#N/A</definedName>
    <definedName name="Discom1F4">#REF!</definedName>
    <definedName name="Discom1F6" localSheetId="9">#N/A</definedName>
    <definedName name="Discom1F6" localSheetId="8">#N/A</definedName>
    <definedName name="Discom1F6">#REF!</definedName>
    <definedName name="Discom2F1" localSheetId="9">#N/A</definedName>
    <definedName name="Discom2F1" localSheetId="8">#N/A</definedName>
    <definedName name="Discom2F1">#REF!</definedName>
    <definedName name="Discom2F2" localSheetId="9">#N/A</definedName>
    <definedName name="Discom2F2" localSheetId="8">#N/A</definedName>
    <definedName name="Discom2F2">#REF!</definedName>
    <definedName name="Discom2F3" localSheetId="9">#N/A</definedName>
    <definedName name="Discom2F3" localSheetId="8">#N/A</definedName>
    <definedName name="Discom2F3">#REF!</definedName>
    <definedName name="Discom2F4" localSheetId="9">#N/A</definedName>
    <definedName name="Discom2F4" localSheetId="8">#N/A</definedName>
    <definedName name="Discom2F4">#REF!</definedName>
    <definedName name="Discom2F6" localSheetId="9">#N/A</definedName>
    <definedName name="Discom2F6" localSheetId="8">#N/A</definedName>
    <definedName name="Discom2F6">#REF!</definedName>
    <definedName name="dom">#REF!</definedName>
    <definedName name="drawal" localSheetId="4" hidden="1">{"pl_t&amp;d",#N/A,FALSE,"p&amp;l_t&amp;D_01_02 (2)"}</definedName>
    <definedName name="drawal" hidden="1">{"pl_t&amp;d",#N/A,FALSE,"p&amp;l_t&amp;D_01_02 (2)"}</definedName>
    <definedName name="dum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um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" localSheetId="4" hidden="1">{"pl_t&amp;d",#N/A,FALSE,"p&amp;l_t&amp;D_01_02 (2)"}</definedName>
    <definedName name="e" hidden="1">{"pl_t&amp;d",#N/A,FALSE,"p&amp;l_t&amp;D_01_02 (2)"}</definedName>
    <definedName name="ENGBAL1">[7]Energy_bal!#REF!</definedName>
    <definedName name="ENGBAL2">[7]Energy_bal!#REF!</definedName>
    <definedName name="er" localSheetId="4" hidden="1">{"pl_t&amp;d",#N/A,FALSE,"p&amp;l_t&amp;D_01_02 (2)"}</definedName>
    <definedName name="er" hidden="1">{"pl_t&amp;d",#N/A,FALSE,"p&amp;l_t&amp;D_01_02 (2)"}</definedName>
    <definedName name="ert" localSheetId="4" hidden="1">{"pl_t&amp;d",#N/A,FALSE,"p&amp;l_t&amp;D_01_02 (2)"}</definedName>
    <definedName name="ert" hidden="1">{"pl_t&amp;d",#N/A,FALSE,"p&amp;l_t&amp;D_01_02 (2)"}</definedName>
    <definedName name="ewtqyewqdu" localSheetId="4" hidden="1">{"pl_t&amp;d",#N/A,FALSE,"p&amp;l_t&amp;D_01_02 (2)"}</definedName>
    <definedName name="ewtqyewqdu" hidden="1">{"pl_t&amp;d",#N/A,FALSE,"p&amp;l_t&amp;D_01_02 (2)"}</definedName>
    <definedName name="F" localSheetId="4">{"pl_t&amp;d",#N/A,FALSE,"p&amp;l_t&amp;D_01_02 (2)"}</definedName>
    <definedName name="F">{"pl_t&amp;d",#N/A,FALSE,"p&amp;l_t&amp;D_01_02 (2)"}</definedName>
    <definedName name="FBBusOfAircraft.AmtOrValueOfExpenditure">#REF!</definedName>
    <definedName name="FBBusOfAircraft.ValueOfFB">#REF!</definedName>
    <definedName name="FBBusOfHotel.AmtOrValueOfExpenditure">#REF!</definedName>
    <definedName name="FBBusOfHotel.ValueOfFB">#REF!</definedName>
    <definedName name="FBBusOfShip.AmtOrValueOfExpenditure">#REF!</definedName>
    <definedName name="FBBusOfShip.ValueOfFB">#REF!</definedName>
    <definedName name="FBBusOthThan4bcd.AmtOrValueOfExpenditure">#REF!</definedName>
    <definedName name="FBBusOthThan4bcd.ValueOfFB">#REF!</definedName>
    <definedName name="FBCnvyBus.AmtOrValueOfExpenditure">#REF!</definedName>
    <definedName name="FBCnvyBus.ValueOfFB">#REF!</definedName>
    <definedName name="FBCnvyConst.AmtOrValueOfExpenditure">#REF!</definedName>
    <definedName name="FBCnvyConst.ValueOfFB">#REF!</definedName>
    <definedName name="FBCnvyManPhrama.AmtOrValueOfExpenditure">#REF!</definedName>
    <definedName name="FBCnvyManPhrama.ValueOfFB">#REF!</definedName>
    <definedName name="FBCnvyMANProd.AmtOrValueOfExpenditure">#REF!</definedName>
    <definedName name="FBCnvyMANProd.ValueOfFB">#REF!</definedName>
    <definedName name="FBConf.AmtOrValueOfExpenditure">#REF!</definedName>
    <definedName name="FBConf.ValueOfFB">#REF!</definedName>
    <definedName name="FBEmplSper.AmtOrValueOfExpenditure">#REF!</definedName>
    <definedName name="FBEmplSper.ValueOfFB">#REF!</definedName>
    <definedName name="FBEMPWel.AmtOrValueOfExpenditure">#REF!</definedName>
    <definedName name="FBEMPWel.ValueOfFB">#REF!</definedName>
    <definedName name="FBEnter.AmtOrValueOfExpenditure">#REF!</definedName>
    <definedName name="FBEnter.ValueOfFB">#REF!</definedName>
    <definedName name="FBFesti.AmtOrValueOfExpenditure">#REF!</definedName>
    <definedName name="FBFesti.ValueOfFB">#REF!</definedName>
    <definedName name="FBFree.AmtOrValueOfExpenditure">#REF!</definedName>
    <definedName name="FBFree.ValueOfFB">#REF!</definedName>
    <definedName name="FBGift.AmtOrValueOfExpenditure">#REF!</definedName>
    <definedName name="FBGift.ValueOfFB">#REF!</definedName>
    <definedName name="FBHealth.AmtOrValueOfExpenditure">#REF!</definedName>
    <definedName name="FBHealth.ValueOfFB">#REF!</definedName>
    <definedName name="FBHotelBRdAir.AmtOrValueOfExpenditure">#REF!</definedName>
    <definedName name="FBHotelBRdAir.ValueOfFB">#REF!</definedName>
    <definedName name="FBHotelBRdBus.AmtOrValueOfExpenditure">#REF!</definedName>
    <definedName name="FBHotelBRdBus.ValueOfFB">#REF!</definedName>
    <definedName name="FBHotelBRdMANPhrama.AmtOrValueOfExpenditure">#REF!</definedName>
    <definedName name="FBHotelBRdMANPhrama.ValueOfFB">#REF!</definedName>
    <definedName name="FBHotelBRdMANProd.AmtOrValueOfExpenditure">#REF!</definedName>
    <definedName name="FBHotelBRdMANProd.ValueOfFB">#REF!</definedName>
    <definedName name="FBHotelBRdShip.AmtOrValueOfExpenditure">#REF!</definedName>
    <definedName name="FBHotelBRdShip.ValueOfFB">#REF!</definedName>
    <definedName name="FBI.EmployeesInOutIndiaFlg">#REF!</definedName>
    <definedName name="FBI.NoOfIndianEmps">#REF!</definedName>
    <definedName name="FBI.NoOfOutsideIndiaEmps">#REF!</definedName>
    <definedName name="FBI.SeparateAcntMaintainForIndiaForeignFlg">#REF!</definedName>
    <definedName name="FBI.TotNoOfEmps">#REF!</definedName>
    <definedName name="FBMainAcc.AmtOrValueOfExpenditure">#REF!</definedName>
    <definedName name="FBMainAcc.ValueOfFB">#REF!</definedName>
    <definedName name="FBMainAir.AmtOrValueOfExpenditure">#REF!</definedName>
    <definedName name="FBMainAir.ValueOfFB">#REF!</definedName>
    <definedName name="FBOthr.AmtOrValueOfExpenditure">#REF!</definedName>
    <definedName name="FBOthr.ValueOfFB">#REF!</definedName>
    <definedName name="FBReprDep.AmtOrValueOfExpenditure">#REF!</definedName>
    <definedName name="FBReprDep.ValueOfFB">#REF!</definedName>
    <definedName name="FBReprDEPCry.AmtOrValueOfExpenditure">#REF!</definedName>
    <definedName name="FBReprDEPCry.ValueOfFB">#REF!</definedName>
    <definedName name="FBSales.AmtOrValueOfExpenditure">#REF!</definedName>
    <definedName name="FBSales.ValueOfFB">#REF!</definedName>
    <definedName name="FBSchlr.AmtOrValueOfExpenditure">#REF!</definedName>
    <definedName name="FBSchlr.ValueOfFB">#REF!</definedName>
    <definedName name="FBTele.AmtOrValueOfExpenditure">#REF!</definedName>
    <definedName name="FBTele.ValueOfFB">#REF!</definedName>
    <definedName name="FBTot.TotValueOfFB">#REF!</definedName>
    <definedName name="FBTour.AmtOrValueOfExpenditure">#REF!</definedName>
    <definedName name="FBTour.ValueOfFB">#REF!</definedName>
    <definedName name="FBValBIF1.ValueOfFBIf1OfSchFBIisNo">#REF!</definedName>
    <definedName name="FBValBIF2N.ValueOfFBIf2OfSchFBIisNo">#REF!</definedName>
    <definedName name="FBValBIF2Y.ValueOfFBIf2OfSchFBIisYes">#REF!</definedName>
    <definedName name="FBValFrgBen.ValueOfFringeBenefit">#REF!</definedName>
    <definedName name="fc" localSheetId="4" hidden="1">{"pl_td_01_02",#N/A,FALSE,"p&amp;l_t&amp;D_01_02 (2)"}</definedName>
    <definedName name="fc" hidden="1">{"pl_td_01_02",#N/A,FALSE,"p&amp;l_t&amp;D_01_02 (2)"}</definedName>
    <definedName name="fd" localSheetId="4" hidden="1">{"pl_t&amp;d",#N/A,FALSE,"p&amp;l_t&amp;D_01_02 (2)"}</definedName>
    <definedName name="fd" hidden="1">{"pl_t&amp;d",#N/A,FALSE,"p&amp;l_t&amp;D_01_02 (2)"}</definedName>
    <definedName name="fdgd" localSheetId="4" hidden="1">{"pl_t&amp;d",#N/A,FALSE,"p&amp;l_t&amp;D_01_02 (2)"}</definedName>
    <definedName name="fdgd" hidden="1">{"pl_t&amp;d",#N/A,FALSE,"p&amp;l_t&amp;D_01_02 (2)"}</definedName>
    <definedName name="ff" localSheetId="4" hidden="1">{"pl_t&amp;d",#N/A,FALSE,"p&amp;l_t&amp;D_01_02 (2)"}</definedName>
    <definedName name="ff" hidden="1">{"pl_t&amp;d",#N/A,FALSE,"p&amp;l_t&amp;D_01_02 (2)"}</definedName>
    <definedName name="fgfdgfdgd" localSheetId="4" hidden="1">{"pl_t&amp;d",#N/A,FALSE,"p&amp;l_t&amp;D_01_02 (2)"}</definedName>
    <definedName name="fgfdgfdgd" hidden="1">{"pl_t&amp;d",#N/A,FALSE,"p&amp;l_t&amp;D_01_02 (2)"}</definedName>
    <definedName name="fhghg" localSheetId="4" hidden="1">{"pl_td_01_02",#N/A,FALSE,"p&amp;l_t&amp;D_01_02 (2)"}</definedName>
    <definedName name="fhghg" hidden="1">{"pl_td_01_02",#N/A,FALSE,"p&amp;l_t&amp;D_01_02 (2)"}</definedName>
    <definedName name="fixing" localSheetId="4" hidden="1">{"pl_t&amp;d",#N/A,FALSE,"p&amp;l_t&amp;D_01_02 (2)"}</definedName>
    <definedName name="fixing" hidden="1">{"pl_t&amp;d",#N/A,FALSE,"p&amp;l_t&amp;D_01_02 (2)"}</definedName>
    <definedName name="format_51Aug" localSheetId="4" hidden="1">{"pl_t&amp;d",#N/A,FALSE,"p&amp;l_t&amp;D_01_02 (2)"}</definedName>
    <definedName name="format_51Aug" hidden="1">{"pl_t&amp;d",#N/A,FALSE,"p&amp;l_t&amp;D_01_02 (2)"}</definedName>
    <definedName name="Format_6" localSheetId="4" hidden="1">{"pl_t&amp;d",#N/A,FALSE,"p&amp;l_t&amp;D_01_02 (2)"}</definedName>
    <definedName name="Format_6" hidden="1">{"pl_t&amp;d",#N/A,FALSE,"p&amp;l_t&amp;D_01_02 (2)"}</definedName>
    <definedName name="Format_6july" localSheetId="4" hidden="1">{"pl_t&amp;d",#N/A,FALSE,"p&amp;l_t&amp;D_01_02 (2)"}</definedName>
    <definedName name="Format_6july" hidden="1">{"pl_t&amp;d",#N/A,FALSE,"p&amp;l_t&amp;D_01_02 (2)"}</definedName>
    <definedName name="format5" localSheetId="4" hidden="1">{"pl_t&amp;d",#N/A,FALSE,"p&amp;l_t&amp;D_01_02 (2)"}</definedName>
    <definedName name="format5" hidden="1">{"pl_t&amp;d",#N/A,FALSE,"p&amp;l_t&amp;D_01_02 (2)"}</definedName>
    <definedName name="g" localSheetId="4" hidden="1">{"pl_t&amp;d",#N/A,FALSE,"p&amp;l_t&amp;D_01_02 (2)"}</definedName>
    <definedName name="g" hidden="1">{"pl_t&amp;d",#N/A,FALSE,"p&amp;l_t&amp;D_01_02 (2)"}</definedName>
    <definedName name="gffdgfd" localSheetId="4" hidden="1">{"pl_t&amp;d",#N/A,FALSE,"p&amp;l_t&amp;D_01_02 (2)"}</definedName>
    <definedName name="gffdgfd" hidden="1">{"pl_t&amp;d",#N/A,FALSE,"p&amp;l_t&amp;D_01_02 (2)"}</definedName>
    <definedName name="ggg" localSheetId="4" hidden="1">{"pl_t&amp;d",#N/A,FALSE,"p&amp;l_t&amp;D_01_02 (2)"}</definedName>
    <definedName name="ggg" hidden="1">{"pl_t&amp;d",#N/A,FALSE,"p&amp;l_t&amp;D_01_02 (2)"}</definedName>
    <definedName name="ggggg" localSheetId="4" hidden="1">{"pl_td_01_02",#N/A,FALSE,"p&amp;l_t&amp;D_01_02 (2)"}</definedName>
    <definedName name="ggggg" hidden="1">{"pl_td_01_02",#N/A,FALSE,"p&amp;l_t&amp;D_01_02 (2)"}</definedName>
    <definedName name="gh" localSheetId="4" hidden="1">{"pl_t&amp;d",#N/A,FALSE,"p&amp;l_t&amp;D_01_02 (2)"}</definedName>
    <definedName name="gh" hidden="1">{"pl_t&amp;d",#N/A,FALSE,"p&amp;l_t&amp;D_01_02 (2)"}</definedName>
    <definedName name="ghgfh" localSheetId="4" hidden="1">{"pl_t&amp;d",#N/A,FALSE,"p&amp;l_t&amp;D_01_02 (2)"}</definedName>
    <definedName name="ghgfh" hidden="1">{"pl_t&amp;d",#N/A,FALSE,"p&amp;l_t&amp;D_01_02 (2)"}</definedName>
    <definedName name="ghh" localSheetId="4" hidden="1">{"pl_t&amp;d",#N/A,FALSE,"p&amp;l_t&amp;D_01_02 (2)"}</definedName>
    <definedName name="ghh" hidden="1">{"pl_t&amp;d",#N/A,FALSE,"p&amp;l_t&amp;D_01_02 (2)"}</definedName>
    <definedName name="ghi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gh" localSheetId="4" hidden="1">{"pl_t&amp;d",#N/A,FALSE,"p&amp;l_t&amp;D_01_02 (2)"}</definedName>
    <definedName name="hgh" hidden="1">{"pl_t&amp;d",#N/A,FALSE,"p&amp;l_t&amp;D_01_02 (2)"}</definedName>
    <definedName name="hju" localSheetId="4" hidden="1">{"pl_t&amp;d",#N/A,FALSE,"p&amp;l_t&amp;D_01_02 (2)"}</definedName>
    <definedName name="hju" hidden="1">{"pl_t&amp;d",#N/A,FALSE,"p&amp;l_t&amp;D_01_02 (2)"}</definedName>
    <definedName name="hundred">[5]General!$A$3</definedName>
    <definedName name="i" localSheetId="4" hidden="1">{"pl_t&amp;d",#N/A,FALSE,"p&amp;l_t&amp;D_01_02 (2)"}</definedName>
    <definedName name="i" hidden="1">{"pl_t&amp;d",#N/A,FALSE,"p&amp;l_t&amp;D_01_02 (2)"}</definedName>
    <definedName name="iijkjk" localSheetId="4" hidden="1">{"pl_t&amp;d",#N/A,FALSE,"p&amp;l_t&amp;D_01_02 (2)"}</definedName>
    <definedName name="iijkjk" hidden="1">{"pl_t&amp;d",#N/A,FALSE,"p&amp;l_t&amp;D_01_02 (2)"}</definedName>
    <definedName name="j" localSheetId="4" hidden="1">{"pl_t&amp;d",#N/A,FALSE,"p&amp;l_t&amp;D_01_02 (2)"}</definedName>
    <definedName name="j" hidden="1">{"pl_t&amp;d",#N/A,FALSE,"p&amp;l_t&amp;D_01_02 (2)"}</definedName>
    <definedName name="ji" localSheetId="4" hidden="1">{"pl_t&amp;d",#N/A,FALSE,"p&amp;l_t&amp;D_01_02 (2)"}</definedName>
    <definedName name="ji" hidden="1">{"pl_t&amp;d",#N/A,FALSE,"p&amp;l_t&amp;D_01_02 (2)"}</definedName>
    <definedName name="ju" localSheetId="4" hidden="1">{"pl_t&amp;d",#N/A,FALSE,"p&amp;l_t&amp;D_01_02 (2)"}</definedName>
    <definedName name="ju" hidden="1">{"pl_t&amp;d",#N/A,FALSE,"p&amp;l_t&amp;D_01_02 (2)"}</definedName>
    <definedName name="juy" localSheetId="4" hidden="1">{"pl_td_01_02",#N/A,FALSE,"p&amp;l_t&amp;D_01_02 (2)"}</definedName>
    <definedName name="juy" hidden="1">{"pl_td_01_02",#N/A,FALSE,"p&amp;l_t&amp;D_01_02 (2)"}</definedName>
    <definedName name="k" localSheetId="4" hidden="1">{"pl_t&amp;d",#N/A,FALSE,"p&amp;l_t&amp;D_01_02 (2)"}</definedName>
    <definedName name="k" hidden="1">{"pl_t&amp;d",#N/A,FALSE,"p&amp;l_t&amp;D_01_02 (2)"}</definedName>
    <definedName name="KAVI" localSheetId="4" hidden="1">{"pl_t&amp;d",#N/A,FALSE,"p&amp;l_t&amp;D_01_02 (2)"}</definedName>
    <definedName name="KAVI" hidden="1">{"pl_t&amp;d",#N/A,FALSE,"p&amp;l_t&amp;D_01_02 (2)"}</definedName>
    <definedName name="ki" localSheetId="4" hidden="1">{"pl_t&amp;d",#N/A,FALSE,"p&amp;l_t&amp;D_01_02 (2)"}</definedName>
    <definedName name="ki" hidden="1">{"pl_t&amp;d",#N/A,FALSE,"p&amp;l_t&amp;D_01_02 (2)"}</definedName>
    <definedName name="kifl" localSheetId="4" hidden="1">{"pl_t&amp;d",#N/A,FALSE,"p&amp;l_t&amp;D_01_02 (2)"}</definedName>
    <definedName name="kifl" hidden="1">{"pl_t&amp;d",#N/A,FALSE,"p&amp;l_t&amp;D_01_02 (2)"}</definedName>
    <definedName name="kkk" localSheetId="4" hidden="1">{"pl_t&amp;d",#N/A,FALSE,"p&amp;l_t&amp;D_01_02 (2)"}</definedName>
    <definedName name="kkk" hidden="1">{"pl_t&amp;d",#N/A,FALSE,"p&amp;l_t&amp;D_01_02 (2)"}</definedName>
    <definedName name="l" localSheetId="4" hidden="1">{"pl_t&amp;d",#N/A,FALSE,"p&amp;l_t&amp;D_01_02 (2)"}</definedName>
    <definedName name="l" hidden="1">{"pl_t&amp;d",#N/A,FALSE,"p&amp;l_t&amp;D_01_02 (2)"}</definedName>
    <definedName name="LastYear">#REF!</definedName>
    <definedName name="laxman" localSheetId="4" hidden="1">{"pl_t&amp;d",#N/A,FALSE,"p&amp;l_t&amp;D_01_02 (2)"}</definedName>
    <definedName name="laxman" hidden="1">{"pl_t&amp;d",#N/A,FALSE,"p&amp;l_t&amp;D_01_02 (2)"}</definedName>
    <definedName name="List_1">'[8]Long-Term Borrowings'!$K$2:$K$3</definedName>
    <definedName name="lkli" localSheetId="4" hidden="1">{"pl_t&amp;d",#N/A,FALSE,"p&amp;l_t&amp;D_01_02 (2)"}</definedName>
    <definedName name="lkli" hidden="1">{"pl_t&amp;d",#N/A,FALSE,"p&amp;l_t&amp;D_01_02 (2)"}</definedName>
    <definedName name="lll" localSheetId="4" hidden="1">{"pl_td_01_02",#N/A,FALSE,"p&amp;l_t&amp;D_01_02 (2)"}</definedName>
    <definedName name="lll" hidden="1">{"pl_td_01_02",#N/A,FALSE,"p&amp;l_t&amp;D_01_02 (2)"}</definedName>
    <definedName name="llll" localSheetId="4" hidden="1">{"pl_t&amp;d",#N/A,FALSE,"p&amp;l_t&amp;D_01_02 (2)"}</definedName>
    <definedName name="llll" hidden="1">{"pl_t&amp;d",#N/A,FALSE,"p&amp;l_t&amp;D_01_02 (2)"}</definedName>
    <definedName name="lopp" localSheetId="4" hidden="1">{"pl_t&amp;d",#N/A,FALSE,"p&amp;l_t&amp;D_01_02 (2)"}</definedName>
    <definedName name="lopp" hidden="1">{"pl_t&amp;d",#N/A,FALSE,"p&amp;l_t&amp;D_01_02 (2)"}</definedName>
    <definedName name="lots" localSheetId="4" hidden="1">{"pl_td_01_02",#N/A,FALSE,"p&amp;l_t&amp;D_01_02 (2)"}</definedName>
    <definedName name="lots" hidden="1">{"pl_td_01_02",#N/A,FALSE,"p&amp;l_t&amp;D_01_02 (2)"}</definedName>
    <definedName name="lpi" localSheetId="4" hidden="1">{"pl_t&amp;d",#N/A,FALSE,"p&amp;l_t&amp;D_01_02 (2)"}</definedName>
    <definedName name="lpi" hidden="1">{"pl_t&amp;d",#N/A,FALSE,"p&amp;l_t&amp;D_01_02 (2)"}</definedName>
    <definedName name="ltind">#REF!</definedName>
    <definedName name="march" localSheetId="4" hidden="1">{"pl_t&amp;d",#N/A,FALSE,"p&amp;l_t&amp;D_01_02 (2)"}</definedName>
    <definedName name="march" hidden="1">{"pl_t&amp;d",#N/A,FALSE,"p&amp;l_t&amp;D_01_02 (2)"}</definedName>
    <definedName name="million">[5]General!$A$6</definedName>
    <definedName name="MM" localSheetId="4" hidden="1">{"pl_t&amp;d",#N/A,FALSE,"p&amp;l_t&amp;D_01_02 (2)"}</definedName>
    <definedName name="MM" hidden="1">{"pl_t&amp;d",#N/A,FALSE,"p&amp;l_t&amp;D_01_02 (2)"}</definedName>
    <definedName name="mmm" localSheetId="4" hidden="1">{"pl_t&amp;d",#N/A,FALSE,"p&amp;l_t&amp;D_01_02 (2)"}</definedName>
    <definedName name="mmm" hidden="1">{"pl_t&amp;d",#N/A,FALSE,"p&amp;l_t&amp;D_01_02 (2)"}</definedName>
    <definedName name="Month">#REF!</definedName>
    <definedName name="MU">#REF!</definedName>
    <definedName name="n" localSheetId="4" hidden="1">{"pl_t&amp;d",#N/A,FALSE,"p&amp;l_t&amp;D_01_02 (2)"}</definedName>
    <definedName name="n" hidden="1">{"pl_t&amp;d",#N/A,FALSE,"p&amp;l_t&amp;D_01_02 (2)"}</definedName>
    <definedName name="na" localSheetId="4" hidden="1">{"pl_t&amp;d",#N/A,FALSE,"p&amp;l_t&amp;D_01_02 (2)"}</definedName>
    <definedName name="na" hidden="1">{"pl_t&amp;d",#N/A,FALSE,"p&amp;l_t&amp;D_01_02 (2)"}</definedName>
    <definedName name="no" localSheetId="4" hidden="1">{"pl_t&amp;d",#N/A,FALSE,"p&amp;l_t&amp;D_01_02 (2)"}</definedName>
    <definedName name="no" hidden="1">{"pl_t&amp;d",#N/A,FALSE,"p&amp;l_t&amp;D_01_02 (2)"}</definedName>
    <definedName name="NonDom">#REF!</definedName>
    <definedName name="nonfree" localSheetId="4" hidden="1">{"pl_t&amp;d",#N/A,FALSE,"p&amp;l_t&amp;D_01_02 (2)"}</definedName>
    <definedName name="nonfree" hidden="1">{"pl_t&amp;d",#N/A,FALSE,"p&amp;l_t&amp;D_01_02 (2)"}</definedName>
    <definedName name="northe" localSheetId="4" hidden="1">{"pl_t&amp;d",#N/A,FALSE,"p&amp;l_t&amp;D_01_02 (2)"}</definedName>
    <definedName name="northe" hidden="1">{"pl_t&amp;d",#N/A,FALSE,"p&amp;l_t&amp;D_01_02 (2)"}</definedName>
    <definedName name="not" localSheetId="4" hidden="1">{"pl_t&amp;d",#N/A,FALSE,"p&amp;l_t&amp;D_01_02 (2)"}</definedName>
    <definedName name="not" hidden="1">{"pl_t&amp;d",#N/A,FALSE,"p&amp;l_t&amp;D_01_02 (2)"}</definedName>
    <definedName name="np" localSheetId="4" hidden="1">{"pl_t&amp;d",#N/A,FALSE,"p&amp;l_t&amp;D_01_02 (2)"}</definedName>
    <definedName name="np" hidden="1">{"pl_t&amp;d",#N/A,FALSE,"p&amp;l_t&amp;D_01_02 (2)"}</definedName>
    <definedName name="npd" localSheetId="4" hidden="1">{"pl_t&amp;d",#N/A,FALSE,"p&amp;l_t&amp;D_01_02 (2)"}</definedName>
    <definedName name="npd" hidden="1">{"pl_t&amp;d",#N/A,FALSE,"p&amp;l_t&amp;D_01_02 (2)"}</definedName>
    <definedName name="nzb" localSheetId="4" hidden="1">{"pl_t&amp;d",#N/A,FALSE,"p&amp;l_t&amp;D_01_02 (2)"}</definedName>
    <definedName name="nzb" hidden="1">{"pl_t&amp;d",#N/A,FALSE,"p&amp;l_t&amp;D_01_02 (2)"}</definedName>
    <definedName name="NZB." localSheetId="4" hidden="1">{"pl_t&amp;d",#N/A,FALSE,"p&amp;l_t&amp;D_01_02 (2)"}</definedName>
    <definedName name="NZB." hidden="1">{"pl_t&amp;d",#N/A,FALSE,"p&amp;l_t&amp;D_01_02 (2)"}</definedName>
    <definedName name="o" localSheetId="4" hidden="1">{"pl_t&amp;d",#N/A,FALSE,"p&amp;l_t&amp;D_01_02 (2)"}</definedName>
    <definedName name="o" hidden="1">{"pl_t&amp;d",#N/A,FALSE,"p&amp;l_t&amp;D_01_02 (2)"}</definedName>
    <definedName name="octob" localSheetId="4" hidden="1">{"pl_t&amp;d",#N/A,FALSE,"p&amp;l_t&amp;D_01_02 (2)"}</definedName>
    <definedName name="octob" hidden="1">{"pl_t&amp;d",#N/A,FALSE,"p&amp;l_t&amp;D_01_02 (2)"}</definedName>
    <definedName name="October" localSheetId="4" hidden="1">{"pl_t&amp;d",#N/A,FALSE,"p&amp;l_t&amp;D_01_02 (2)"}</definedName>
    <definedName name="October" hidden="1">{"pl_t&amp;d",#N/A,FALSE,"p&amp;l_t&amp;D_01_02 (2)"}</definedName>
    <definedName name="p" localSheetId="4" hidden="1">{"pl_t&amp;d",#N/A,FALSE,"p&amp;l_t&amp;D_01_02 (2)"}</definedName>
    <definedName name="p" hidden="1">{"pl_t&amp;d",#N/A,FALSE,"p&amp;l_t&amp;D_01_02 (2)"}</definedName>
    <definedName name="PCost">#REF!</definedName>
    <definedName name="PF" localSheetId="4" hidden="1">{"pl_t&amp;d",#N/A,FALSE,"p&amp;l_t&amp;D_01_02 (2)"}</definedName>
    <definedName name="PF" hidden="1">{"pl_t&amp;d",#N/A,FALSE,"p&amp;l_t&amp;D_01_02 (2)"}</definedName>
    <definedName name="physical" localSheetId="4" hidden="1">{"pl_td_01_02",#N/A,FALSE,"p&amp;l_t&amp;D_01_02 (2)"}</definedName>
    <definedName name="physical" hidden="1">{"pl_td_01_02",#N/A,FALSE,"p&amp;l_t&amp;D_01_02 (2)"}</definedName>
    <definedName name="PreparedBy">[3]cover1!$A$30</definedName>
    <definedName name="preparedbyTransformer">[3]cover1!$A$31</definedName>
    <definedName name="pri" localSheetId="4" hidden="1">{"pl_t&amp;d",#N/A,FALSE,"p&amp;l_t&amp;D_01_02 (2)"}</definedName>
    <definedName name="pri" hidden="1">{"pl_t&amp;d",#N/A,FALSE,"p&amp;l_t&amp;D_01_02 (2)"}</definedName>
    <definedName name="_xlnm.Print_Area" localSheetId="7">'Actual Loans'!$A$1:$Y$22</definedName>
    <definedName name="_xlnm.Print_Titles" localSheetId="7">'Actual Loans'!$A:$B,'Actual Loans'!$2:$4</definedName>
    <definedName name="proforma" localSheetId="4" hidden="1">{"pl_t&amp;d",#N/A,FALSE,"p&amp;l_t&amp;D_01_02 (2)"}</definedName>
    <definedName name="proforma" hidden="1">{"pl_t&amp;d",#N/A,FALSE,"p&amp;l_t&amp;D_01_02 (2)"}</definedName>
    <definedName name="q" localSheetId="4" hidden="1">{"pl_t&amp;d",#N/A,FALSE,"p&amp;l_t&amp;D_01_02 (2)"}</definedName>
    <definedName name="q" hidden="1">{"pl_t&amp;d",#N/A,FALSE,"p&amp;l_t&amp;D_01_02 (2)"}</definedName>
    <definedName name="qw" localSheetId="4" hidden="1">{"pl_t&amp;d",#N/A,FALSE,"p&amp;l_t&amp;D_01_02 (2)"}</definedName>
    <definedName name="qw" hidden="1">{"pl_t&amp;d",#N/A,FALSE,"p&amp;l_t&amp;D_01_02 (2)"}</definedName>
    <definedName name="raa" localSheetId="4" hidden="1">{"pl_td_01_02",#N/A,FALSE,"p&amp;l_t&amp;D_01_02 (2)"}</definedName>
    <definedName name="raa" hidden="1">{"pl_td_01_02",#N/A,FALSE,"p&amp;l_t&amp;D_01_02 (2)"}</definedName>
    <definedName name="raaa" localSheetId="4" hidden="1">{"pl_td_01_02",#N/A,FALSE,"p&amp;l_t&amp;D_01_02 (2)"}</definedName>
    <definedName name="raaa" hidden="1">{"pl_td_01_02",#N/A,FALSE,"p&amp;l_t&amp;D_01_02 (2)"}</definedName>
    <definedName name="raj" localSheetId="4" hidden="1">{"pl_t&amp;d",#N/A,FALSE,"p&amp;l_t&amp;D_01_02 (2)"}</definedName>
    <definedName name="raj" hidden="1">{"pl_t&amp;d",#N/A,FALSE,"p&amp;l_t&amp;D_01_02 (2)"}</definedName>
    <definedName name="Raja" localSheetId="4" hidden="1">{"pl_t&amp;d",#N/A,FALSE,"p&amp;l_t&amp;D_01_02 (2)"}</definedName>
    <definedName name="Raja" hidden="1">{"pl_t&amp;d",#N/A,FALSE,"p&amp;l_t&amp;D_01_02 (2)"}</definedName>
    <definedName name="raju" localSheetId="4" hidden="1">{"pl_t&amp;d",#N/A,FALSE,"p&amp;l_t&amp;D_01_02 (2)"}</definedName>
    <definedName name="raju" hidden="1">{"pl_t&amp;d",#N/A,FALSE,"p&amp;l_t&amp;D_01_02 (2)"}</definedName>
    <definedName name="Range1">#REF!</definedName>
    <definedName name="Range2">#REF!</definedName>
    <definedName name="revised" localSheetId="4" hidden="1">{"pl_t&amp;d",#N/A,FALSE,"p&amp;l_t&amp;D_01_02 (2)"}</definedName>
    <definedName name="revised" hidden="1">{"pl_t&amp;d",#N/A,FALSE,"p&amp;l_t&amp;D_01_02 (2)"}</definedName>
    <definedName name="rsv" localSheetId="4" hidden="1">{"pl_td_01_02",#N/A,FALSE,"p&amp;l_t&amp;D_01_02 (2)"}</definedName>
    <definedName name="rsv" hidden="1">{"pl_td_01_02",#N/A,FALSE,"p&amp;l_t&amp;D_01_02 (2)"}</definedName>
    <definedName name="s" localSheetId="4" hidden="1">{"pl_t&amp;d",#N/A,FALSE,"p&amp;l_t&amp;D_01_02 (2)"}</definedName>
    <definedName name="s" hidden="1">{"pl_t&amp;d",#N/A,FALSE,"p&amp;l_t&amp;D_01_02 (2)"}</definedName>
    <definedName name="s_fb">#REF!</definedName>
    <definedName name="s_fbi">#REF!</definedName>
    <definedName name="sale" localSheetId="4" hidden="1">{"pl_t&amp;d",#N/A,FALSE,"p&amp;l_t&amp;D_01_02 (2)"}</definedName>
    <definedName name="sale" hidden="1">{"pl_t&amp;d",#N/A,FALSE,"p&amp;l_t&amp;D_01_02 (2)"}</definedName>
    <definedName name="sales" localSheetId="4" hidden="1">{"pl_t&amp;d",#N/A,FALSE,"p&amp;l_t&amp;D_01_02 (2)"}</definedName>
    <definedName name="sales" hidden="1">{"pl_t&amp;d",#N/A,FALSE,"p&amp;l_t&amp;D_01_02 (2)"}</definedName>
    <definedName name="sales2" localSheetId="4" hidden="1">{"pl_t&amp;d",#N/A,FALSE,"p&amp;l_t&amp;D_01_02 (2)"}</definedName>
    <definedName name="sales2" hidden="1">{"pl_t&amp;d",#N/A,FALSE,"p&amp;l_t&amp;D_01_02 (2)"}</definedName>
    <definedName name="SALES3" localSheetId="4" hidden="1">{"pl_t&amp;d",#N/A,FALSE,"p&amp;l_t&amp;D_01_02 (2)"}</definedName>
    <definedName name="SALES3" hidden="1">{"pl_t&amp;d",#N/A,FALSE,"p&amp;l_t&amp;D_01_02 (2)"}</definedName>
    <definedName name="Salesconfl" localSheetId="4" hidden="1">{"pl_t&amp;d",#N/A,FALSE,"p&amp;l_t&amp;D_01_02 (2)"}</definedName>
    <definedName name="Salesconfl" hidden="1">{"pl_t&amp;d",#N/A,FALSE,"p&amp;l_t&amp;D_01_02 (2)"}</definedName>
    <definedName name="Salesconflict" localSheetId="4" hidden="1">{"pl_t&amp;d",#N/A,FALSE,"p&amp;l_t&amp;D_01_02 (2)"}</definedName>
    <definedName name="Salesconflict" hidden="1">{"pl_t&amp;d",#N/A,FALSE,"p&amp;l_t&amp;D_01_02 (2)"}</definedName>
    <definedName name="sd" localSheetId="4" hidden="1">{"pl_t&amp;d",#N/A,FALSE,"p&amp;l_t&amp;D_01_02 (2)"}</definedName>
    <definedName name="sd" hidden="1">{"pl_t&amp;d",#N/A,FALSE,"p&amp;l_t&amp;D_01_02 (2)"}</definedName>
    <definedName name="sdds" localSheetId="4" hidden="1">{"pl_t&amp;d",#N/A,FALSE,"p&amp;l_t&amp;D_01_02 (2)"}</definedName>
    <definedName name="sdds" hidden="1">{"pl_t&amp;d",#N/A,FALSE,"p&amp;l_t&amp;D_01_02 (2)"}</definedName>
    <definedName name="section.SheduleFB">#REF!</definedName>
    <definedName name="section.SheduleFBI">#REF!</definedName>
    <definedName name="SEctionCode">[4]Challan!$IV$847:$IV$860</definedName>
    <definedName name="sept" localSheetId="4" hidden="1">{"pl_t&amp;d",#N/A,FALSE,"p&amp;l_t&amp;D_01_02 (2)"}</definedName>
    <definedName name="sept" hidden="1">{"pl_t&amp;d",#N/A,FALSE,"p&amp;l_t&amp;D_01_02 (2)"}</definedName>
    <definedName name="sfs" localSheetId="4" hidden="1">{"pl_t&amp;d",#N/A,FALSE,"p&amp;l_t&amp;D_01_02 (2)"}</definedName>
    <definedName name="sfs" hidden="1">{"pl_t&amp;d",#N/A,FALSE,"p&amp;l_t&amp;D_01_02 (2)"}</definedName>
    <definedName name="sheet" localSheetId="4" hidden="1">{"pl_t&amp;d",#N/A,FALSE,"p&amp;l_t&amp;D_01_02 (2)"}</definedName>
    <definedName name="sheet" hidden="1">{"pl_t&amp;d",#N/A,FALSE,"p&amp;l_t&amp;D_01_02 (2)"}</definedName>
    <definedName name="sheet22.AccountType">'[9]PART C'!$J$46:$J$47</definedName>
    <definedName name="sheet3" localSheetId="4" hidden="1">{"pl_t&amp;d",#N/A,FALSE,"p&amp;l_t&amp;D_01_02 (2)"}</definedName>
    <definedName name="sheet3" hidden="1">{"pl_t&amp;d",#N/A,FALSE,"p&amp;l_t&amp;D_01_02 (2)"}</definedName>
    <definedName name="Slicer_State">#N/A</definedName>
    <definedName name="ss" localSheetId="4" hidden="1">{"pl_t&amp;d",#N/A,FALSE,"p&amp;l_t&amp;D_01_02 (2)"}</definedName>
    <definedName name="ss" hidden="1">{"pl_t&amp;d",#N/A,FALSE,"p&amp;l_t&amp;D_01_02 (2)"}</definedName>
    <definedName name="ssasa" localSheetId="4" hidden="1">{"pl_t&amp;d",#N/A,FALSE,"p&amp;l_t&amp;D_01_02 (2)"}</definedName>
    <definedName name="ssasa" hidden="1">{"pl_t&amp;d",#N/A,FALSE,"p&amp;l_t&amp;D_01_02 (2)"}</definedName>
    <definedName name="sss" localSheetId="4" hidden="1">{"pl_t&amp;d",#N/A,FALSE,"p&amp;l_t&amp;D_01_02 (2)"}</definedName>
    <definedName name="sss" hidden="1">{"pl_t&amp;d",#N/A,FALSE,"p&amp;l_t&amp;D_01_02 (2)"}</definedName>
    <definedName name="states">'[10]Part A General'!$F$3:$F$38</definedName>
    <definedName name="STRUCK" localSheetId="4" hidden="1">{"pl_t&amp;d",#N/A,FALSE,"p&amp;l_t&amp;D_01_02 (2)"}</definedName>
    <definedName name="STRUCK" hidden="1">{"pl_t&amp;d",#N/A,FALSE,"p&amp;l_t&amp;D_01_02 (2)"}</definedName>
    <definedName name="svs" localSheetId="4" hidden="1">{"pl_t&amp;d",#N/A,FALSE,"p&amp;l_t&amp;D_01_02 (2)"}</definedName>
    <definedName name="svs" hidden="1">{"pl_t&amp;d",#N/A,FALSE,"p&amp;l_t&amp;D_01_02 (2)"}</definedName>
    <definedName name="sx" localSheetId="4" hidden="1">{"pl_t&amp;d",#N/A,FALSE,"p&amp;l_t&amp;D_01_02 (2)"}</definedName>
    <definedName name="sx" hidden="1">{"pl_t&amp;d",#N/A,FALSE,"p&amp;l_t&amp;D_01_02 (2)"}</definedName>
    <definedName name="t" localSheetId="4" hidden="1">{"pl_t&amp;d",#N/A,FALSE,"p&amp;l_t&amp;D_01_02 (2)"}</definedName>
    <definedName name="t" hidden="1">{"pl_t&amp;d",#N/A,FALSE,"p&amp;l_t&amp;D_01_02 (2)"}</definedName>
    <definedName name="TEMP" localSheetId="4" hidden="1">{"pl_t&amp;d",#N/A,FALSE,"p&amp;l_t&amp;D_01_02 (2)"}</definedName>
    <definedName name="TEMP" hidden="1">{"pl_t&amp;d",#N/A,FALSE,"p&amp;l_t&amp;D_01_02 (2)"}</definedName>
    <definedName name="TESTKEYS">[6]Sheet1!#REF!</definedName>
    <definedName name="TESTVKEY">[6]Sheet1!#REF!</definedName>
    <definedName name="thousand">[5]General!$A$4</definedName>
    <definedName name="TTT" localSheetId="4" hidden="1">{"pl_t&amp;d",#N/A,FALSE,"p&amp;l_t&amp;D_01_02 (2)"}</definedName>
    <definedName name="TTT" hidden="1">{"pl_t&amp;d",#N/A,FALSE,"p&amp;l_t&amp;D_01_02 (2)"}</definedName>
    <definedName name="tytytyy" localSheetId="4" hidden="1">{"pl_td_01_02",#N/A,FALSE,"p&amp;l_t&amp;D_01_02 (2)"}</definedName>
    <definedName name="tytytyy" hidden="1">{"pl_td_01_02",#N/A,FALSE,"p&amp;l_t&amp;D_01_02 (2)"}</definedName>
    <definedName name="uuu" localSheetId="4" hidden="1">{"pl_t&amp;d",#N/A,FALSE,"p&amp;l_t&amp;D_01_02 (2)"}</definedName>
    <definedName name="uuu" hidden="1">{"pl_t&amp;d",#N/A,FALSE,"p&amp;l_t&amp;D_01_02 (2)"}</definedName>
    <definedName name="w" localSheetId="4" hidden="1">{"pl_t&amp;d",#N/A,FALSE,"p&amp;l_t&amp;D_01_02 (2)"}</definedName>
    <definedName name="w" hidden="1">{"pl_t&amp;d",#N/A,FALSE,"p&amp;l_t&amp;D_01_02 (2)"}</definedName>
    <definedName name="wdsd" localSheetId="4" hidden="1">{"pl_t&amp;d",#N/A,FALSE,"p&amp;l_t&amp;D_01_02 (2)"}</definedName>
    <definedName name="wdsd" hidden="1">{"pl_t&amp;d",#N/A,FALSE,"p&amp;l_t&amp;D_01_02 (2)"}</definedName>
    <definedName name="wq" localSheetId="4" hidden="1">{"pl_t&amp;d",#N/A,FALSE,"p&amp;l_t&amp;D_01_02 (2)"}</definedName>
    <definedName name="wq" hidden="1">{"pl_t&amp;d",#N/A,FALSE,"p&amp;l_t&amp;D_01_02 (2)"}</definedName>
    <definedName name="wqetydwd" localSheetId="4" hidden="1">{"pl_t&amp;d",#N/A,FALSE,"p&amp;l_t&amp;D_01_02 (2)"}</definedName>
    <definedName name="wqetydwd" hidden="1">{"pl_t&amp;d",#N/A,FALSE,"p&amp;l_t&amp;D_01_02 (2)"}</definedName>
    <definedName name="wqsxd" localSheetId="4" hidden="1">{"pl_t&amp;d",#N/A,FALSE,"p&amp;l_t&amp;D_01_02 (2)"}</definedName>
    <definedName name="wqsxd" hidden="1">{"pl_t&amp;d",#N/A,FALSE,"p&amp;l_t&amp;D_01_02 (2)"}</definedName>
    <definedName name="wqwq" localSheetId="4" hidden="1">{"pl_t&amp;d",#N/A,FALSE,"p&amp;l_t&amp;D_01_02 (2)"}</definedName>
    <definedName name="wqwq" hidden="1">{"pl_t&amp;d",#N/A,FALSE,"p&amp;l_t&amp;D_01_02 (2)"}</definedName>
    <definedName name="wqyqu" localSheetId="4" hidden="1">{"pl_t&amp;d",#N/A,FALSE,"p&amp;l_t&amp;D_01_02 (2)"}</definedName>
    <definedName name="wqyqu" hidden="1">{"pl_t&amp;d",#N/A,FALSE,"p&amp;l_t&amp;D_01_02 (2)"}</definedName>
    <definedName name="wrn.ARR._.Forms." localSheetId="4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Output.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04." localSheetId="4" hidden="1">{#N/A,#N/A,FALSE,"1.1";#N/A,#N/A,FALSE,"1.3";#N/A,#N/A,FALSE,"SOD";#N/A,#N/A,FALSE,"1.4";#N/A,#N/A,FALSE,"Int recon";#N/A,#N/A,FALSE,"Sales_Rev";#N/A,#N/A,FALSE,"Summary"}</definedName>
    <definedName name="wrn.ARR04." hidden="1">{#N/A,#N/A,FALSE,"1.1";#N/A,#N/A,FALSE,"1.3";#N/A,#N/A,FALSE,"SOD";#N/A,#N/A,FALSE,"1.4";#N/A,#N/A,FALSE,"Int recon";#N/A,#N/A,FALSE,"Sales_Rev";#N/A,#N/A,FALSE,"Summary"}</definedName>
    <definedName name="wrn.Consolidated._.report._.on._.all._.companies." localSheetId="4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Output._.forms." localSheetId="4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Forms." localSheetId="4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pl." localSheetId="4" hidden="1">{"pl_t&amp;d",#N/A,FALSE,"p&amp;l_t&amp;D_01_02 (2)"}</definedName>
    <definedName name="wrn.pl." hidden="1">{"pl_t&amp;d",#N/A,FALSE,"p&amp;l_t&amp;D_01_02 (2)"}</definedName>
    <definedName name="wrn.pl_td." localSheetId="4" hidden="1">{"pl_td_01_02",#N/A,FALSE,"p&amp;l_t&amp;D_01_02 (2)"}</definedName>
    <definedName name="wrn.pl_td." hidden="1">{"pl_td_01_02",#N/A,FALSE,"p&amp;l_t&amp;D_01_02 (2)"}</definedName>
    <definedName name="wrn.PP." localSheetId="4" hidden="1">{#N/A,#N/A,FALSE,"2002-03 Form 1.3a";#N/A,#N/A,FALSE,"2003-04 Form 1.3a";#N/A,#N/A,FALSE,"Avai- CY";#N/A,#N/A,FALSE,"Avai- EY";#N/A,#N/A,FALSE,"Demand vs Availability"}</definedName>
    <definedName name="wrn.PP." hidden="1">{#N/A,#N/A,FALSE,"2002-03 Form 1.3a";#N/A,#N/A,FALSE,"2003-04 Form 1.3a";#N/A,#N/A,FALSE,"Avai- CY";#N/A,#N/A,FALSE,"Avai- EY";#N/A,#N/A,FALSE,"Demand vs Availability"}</definedName>
    <definedName name="wrn.Reports._.of._.NPDCL." localSheetId="4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x" localSheetId="4" hidden="1">{"pl_t&amp;d",#N/A,FALSE,"p&amp;l_t&amp;D_01_02 (2)"}</definedName>
    <definedName name="x" hidden="1">{"pl_t&amp;d",#N/A,FALSE,"p&amp;l_t&amp;D_01_02 (2)"}</definedName>
    <definedName name="x_dataentry">[11]Instructions!#REF!</definedName>
    <definedName name="xx" localSheetId="4" hidden="1">{"pl_t&amp;d",#N/A,FALSE,"p&amp;l_t&amp;D_01_02 (2)"}</definedName>
    <definedName name="xx" hidden="1">{"pl_t&amp;d",#N/A,FALSE,"p&amp;l_t&amp;D_01_02 (2)"}</definedName>
    <definedName name="xxc" localSheetId="4" hidden="1">{"pl_t&amp;d",#N/A,FALSE,"p&amp;l_t&amp;D_01_02 (2)"}</definedName>
    <definedName name="xxc" hidden="1">{"pl_t&amp;d",#N/A,FALSE,"p&amp;l_t&amp;D_01_02 (2)"}</definedName>
    <definedName name="xxx" localSheetId="4" hidden="1">{"pl_t&amp;d",#N/A,FALSE,"p&amp;l_t&amp;D_01_02 (2)"}</definedName>
    <definedName name="xxx" hidden="1">{"pl_t&amp;d",#N/A,FALSE,"p&amp;l_t&amp;D_01_02 (2)"}</definedName>
    <definedName name="y" localSheetId="4" hidden="1">{"pl_t&amp;d",#N/A,FALSE,"p&amp;l_t&amp;D_01_02 (2)"}</definedName>
    <definedName name="y" hidden="1">{"pl_t&amp;d",#N/A,FALSE,"p&amp;l_t&amp;D_01_02 (2)"}</definedName>
    <definedName name="YEAR" localSheetId="9">#N/A</definedName>
    <definedName name="YEAR" localSheetId="8">#N/A</definedName>
    <definedName name="YEAR">#REF!</definedName>
    <definedName name="yh" localSheetId="4" hidden="1">{"pl_t&amp;d",#N/A,FALSE,"p&amp;l_t&amp;D_01_02 (2)"}</definedName>
    <definedName name="yh" hidden="1">{"pl_t&amp;d",#N/A,FALSE,"p&amp;l_t&amp;D_01_02 (2)"}</definedName>
    <definedName name="yt" localSheetId="4" hidden="1">{"pl_t&amp;d",#N/A,FALSE,"p&amp;l_t&amp;D_01_02 (2)"}</definedName>
    <definedName name="yt" hidden="1">{"pl_t&amp;d",#N/A,FALSE,"p&amp;l_t&amp;D_01_02 (2)"}</definedName>
  </definedNames>
  <calcPr calcId="144525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3" l="1"/>
  <c r="G33" i="3"/>
  <c r="I4" i="7" l="1"/>
  <c r="D4" i="5" l="1"/>
  <c r="C24" i="7"/>
  <c r="C12" i="7"/>
  <c r="D59" i="3"/>
  <c r="F63" i="3"/>
  <c r="D32" i="3" l="1"/>
  <c r="D5" i="5" s="1"/>
  <c r="E36" i="3"/>
  <c r="F30" i="4"/>
  <c r="F32" i="4"/>
  <c r="E32" i="4"/>
  <c r="E30" i="4"/>
  <c r="D32" i="4"/>
  <c r="D30" i="4"/>
  <c r="D29" i="4"/>
  <c r="D41" i="3"/>
  <c r="F40" i="3"/>
  <c r="E40" i="3"/>
  <c r="D12" i="1"/>
  <c r="E19" i="4" l="1"/>
  <c r="E18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4" i="14"/>
  <c r="D18" i="14"/>
  <c r="C18" i="14"/>
  <c r="F54" i="3" l="1"/>
  <c r="F46" i="3"/>
  <c r="E33" i="3"/>
  <c r="D36" i="3"/>
  <c r="C9" i="9"/>
  <c r="E102" i="13"/>
  <c r="E101" i="13"/>
  <c r="E100" i="13"/>
  <c r="E96" i="13"/>
  <c r="E95" i="13" s="1"/>
  <c r="E94" i="13" s="1"/>
  <c r="E90" i="13"/>
  <c r="E89" i="13" s="1"/>
  <c r="E85" i="13"/>
  <c r="E81" i="13"/>
  <c r="C31" i="7" l="1"/>
  <c r="C44" i="7" s="1"/>
  <c r="G55" i="3"/>
  <c r="F55" i="3"/>
  <c r="F26" i="13"/>
  <c r="M13" i="1" l="1"/>
  <c r="D6" i="7"/>
  <c r="C17" i="7"/>
  <c r="D35" i="3" l="1"/>
  <c r="F32" i="3"/>
  <c r="E63" i="3"/>
  <c r="D23" i="7" l="1"/>
  <c r="F5" i="5"/>
  <c r="F35" i="3"/>
  <c r="E35" i="3"/>
  <c r="M36" i="3" s="1"/>
  <c r="F96" i="13" l="1"/>
  <c r="F90" i="13"/>
  <c r="F89" i="13" s="1"/>
  <c r="F85" i="13"/>
  <c r="F81" i="13"/>
  <c r="F28" i="13"/>
  <c r="F95" i="13" l="1"/>
  <c r="F102" i="13"/>
  <c r="F94" i="13" l="1"/>
  <c r="F101" i="13"/>
  <c r="F100" i="13" l="1"/>
  <c r="E5" i="7" l="1"/>
  <c r="E6" i="7"/>
  <c r="E4" i="7"/>
  <c r="D46" i="11" l="1"/>
  <c r="X18" i="11"/>
  <c r="S8" i="11"/>
  <c r="U9" i="11"/>
  <c r="U10" i="11"/>
  <c r="U11" i="11"/>
  <c r="V11" i="11" s="1"/>
  <c r="W11" i="11" s="1"/>
  <c r="U12" i="11"/>
  <c r="U13" i="11"/>
  <c r="U14" i="11"/>
  <c r="U15" i="11"/>
  <c r="U16" i="11"/>
  <c r="U17" i="11"/>
  <c r="W20" i="11"/>
  <c r="W13" i="11"/>
  <c r="W14" i="11"/>
  <c r="W15" i="11"/>
  <c r="W16" i="11"/>
  <c r="W17" i="11"/>
  <c r="W7" i="11"/>
  <c r="V20" i="11"/>
  <c r="U20" i="11"/>
  <c r="V9" i="11"/>
  <c r="W9" i="11" s="1"/>
  <c r="V10" i="11"/>
  <c r="W10" i="11" s="1"/>
  <c r="V12" i="11"/>
  <c r="W12" i="11" s="1"/>
  <c r="V13" i="11"/>
  <c r="V14" i="11"/>
  <c r="V15" i="11"/>
  <c r="V16" i="11"/>
  <c r="V17" i="11"/>
  <c r="S20" i="11" l="1"/>
  <c r="T20" i="11" s="1"/>
  <c r="V7" i="11"/>
  <c r="S13" i="11"/>
  <c r="S11" i="11"/>
  <c r="N35" i="12"/>
  <c r="S10" i="11"/>
  <c r="N29" i="12"/>
  <c r="S17" i="11" l="1"/>
  <c r="S16" i="11"/>
  <c r="S15" i="11"/>
  <c r="S14" i="11"/>
  <c r="T13" i="11"/>
  <c r="S12" i="11"/>
  <c r="T11" i="11"/>
  <c r="T10" i="11"/>
  <c r="T15" i="11"/>
  <c r="T8" i="11"/>
  <c r="U8" i="11" s="1"/>
  <c r="S9" i="11"/>
  <c r="K54" i="12"/>
  <c r="K53" i="12"/>
  <c r="K52" i="12"/>
  <c r="K51" i="12"/>
  <c r="K50" i="12"/>
  <c r="K48" i="12"/>
  <c r="K47" i="12"/>
  <c r="K46" i="12"/>
  <c r="K45" i="12"/>
  <c r="K43" i="12"/>
  <c r="K42" i="12"/>
  <c r="K40" i="12"/>
  <c r="K39" i="12"/>
  <c r="K36" i="12"/>
  <c r="K35" i="12"/>
  <c r="K34" i="12"/>
  <c r="K32" i="12"/>
  <c r="K31" i="12"/>
  <c r="K30" i="12"/>
  <c r="K29" i="12"/>
  <c r="K28" i="12"/>
  <c r="K27" i="12"/>
  <c r="K25" i="12"/>
  <c r="K24" i="12"/>
  <c r="K22" i="12"/>
  <c r="K20" i="12"/>
  <c r="K19" i="12"/>
  <c r="K18" i="12"/>
  <c r="K17" i="12"/>
  <c r="K16" i="12"/>
  <c r="K15" i="12"/>
  <c r="K14" i="12"/>
  <c r="K13" i="12"/>
  <c r="K12" i="12"/>
  <c r="K11" i="12"/>
  <c r="K10" i="12"/>
  <c r="K9" i="12"/>
  <c r="K8" i="12"/>
  <c r="K4" i="12"/>
  <c r="D45" i="11"/>
  <c r="D44" i="11"/>
  <c r="D43" i="11"/>
  <c r="E43" i="11" s="1"/>
  <c r="D42" i="11"/>
  <c r="E42" i="11" s="1"/>
  <c r="D40" i="11"/>
  <c r="D41" i="11" s="1"/>
  <c r="D36" i="11"/>
  <c r="D34" i="11"/>
  <c r="D33" i="11"/>
  <c r="D32" i="11"/>
  <c r="D31" i="11"/>
  <c r="D29" i="11"/>
  <c r="K27" i="11"/>
  <c r="D27" i="11"/>
  <c r="O25" i="11"/>
  <c r="I25" i="11"/>
  <c r="O24" i="11"/>
  <c r="I24" i="11"/>
  <c r="I23" i="11"/>
  <c r="R22" i="11"/>
  <c r="O21" i="11"/>
  <c r="I21" i="11"/>
  <c r="R20" i="11"/>
  <c r="O18" i="11"/>
  <c r="I18" i="11"/>
  <c r="D45" i="10"/>
  <c r="D44" i="10"/>
  <c r="D43" i="10"/>
  <c r="D42" i="10"/>
  <c r="D40" i="10"/>
  <c r="D41" i="10" s="1"/>
  <c r="D36" i="10"/>
  <c r="D34" i="10"/>
  <c r="D33" i="10"/>
  <c r="D32" i="10"/>
  <c r="D31" i="10"/>
  <c r="D30" i="10"/>
  <c r="D37" i="10" s="1"/>
  <c r="D29" i="10"/>
  <c r="D28" i="10"/>
  <c r="D35" i="10" s="1"/>
  <c r="K27" i="10"/>
  <c r="D27" i="10"/>
  <c r="O25" i="10"/>
  <c r="I25" i="10"/>
  <c r="O24" i="10"/>
  <c r="I24" i="10"/>
  <c r="T23" i="10"/>
  <c r="S23" i="10"/>
  <c r="I23" i="10"/>
  <c r="U23" i="10" s="1"/>
  <c r="T22" i="10"/>
  <c r="U22" i="10" s="1"/>
  <c r="S22" i="10"/>
  <c r="R22" i="10"/>
  <c r="T21" i="10"/>
  <c r="O21" i="10"/>
  <c r="I21" i="10"/>
  <c r="U21" i="10" s="1"/>
  <c r="T20" i="10"/>
  <c r="U20" i="10" s="1"/>
  <c r="R20" i="10"/>
  <c r="T19" i="10"/>
  <c r="U19" i="10" s="1"/>
  <c r="U18" i="10"/>
  <c r="T18" i="10"/>
  <c r="O18" i="10"/>
  <c r="I18" i="10"/>
  <c r="W17" i="10"/>
  <c r="T17" i="10"/>
  <c r="U17" i="10" s="1"/>
  <c r="W16" i="10"/>
  <c r="T16" i="10"/>
  <c r="U16" i="10" s="1"/>
  <c r="W15" i="10"/>
  <c r="T15" i="10"/>
  <c r="U15" i="10" s="1"/>
  <c r="W14" i="10"/>
  <c r="U14" i="10"/>
  <c r="T14" i="10"/>
  <c r="W13" i="10"/>
  <c r="T13" i="10"/>
  <c r="U13" i="10" s="1"/>
  <c r="W12" i="10"/>
  <c r="T12" i="10"/>
  <c r="U12" i="10" s="1"/>
  <c r="W11" i="10"/>
  <c r="T11" i="10"/>
  <c r="U11" i="10" s="1"/>
  <c r="W10" i="10"/>
  <c r="U10" i="10"/>
  <c r="T10" i="10"/>
  <c r="W9" i="10"/>
  <c r="T9" i="10"/>
  <c r="U9" i="10" s="1"/>
  <c r="W8" i="10"/>
  <c r="T8" i="10"/>
  <c r="U8" i="10" s="1"/>
  <c r="W7" i="10"/>
  <c r="T7" i="10"/>
  <c r="U7" i="10" s="1"/>
  <c r="T4" i="10"/>
  <c r="C15" i="9"/>
  <c r="K13" i="1"/>
  <c r="H13" i="1"/>
  <c r="J13" i="1"/>
  <c r="G13" i="1"/>
  <c r="I9" i="1"/>
  <c r="I8" i="1"/>
  <c r="I7" i="1"/>
  <c r="I6" i="1"/>
  <c r="I5" i="1"/>
  <c r="F9" i="1"/>
  <c r="F7" i="1"/>
  <c r="F6" i="1"/>
  <c r="F5" i="1"/>
  <c r="C9" i="1"/>
  <c r="C7" i="1"/>
  <c r="C6" i="1"/>
  <c r="C5" i="1"/>
  <c r="E13" i="1"/>
  <c r="D10" i="9"/>
  <c r="C10" i="9"/>
  <c r="C6" i="9"/>
  <c r="F29" i="4"/>
  <c r="F31" i="4"/>
  <c r="E29" i="4"/>
  <c r="E31" i="4" s="1"/>
  <c r="E33" i="4" s="1"/>
  <c r="E23" i="4" s="1"/>
  <c r="W21" i="8"/>
  <c r="T21" i="8"/>
  <c r="S21" i="8"/>
  <c r="Q21" i="8"/>
  <c r="P21" i="8"/>
  <c r="M21" i="8"/>
  <c r="L21" i="8"/>
  <c r="L22" i="8" s="1"/>
  <c r="J21" i="8"/>
  <c r="F21" i="8"/>
  <c r="C21" i="8"/>
  <c r="R20" i="8"/>
  <c r="U20" i="8" s="1"/>
  <c r="X20" i="8" s="1"/>
  <c r="G20" i="8"/>
  <c r="N19" i="8"/>
  <c r="J19" i="8"/>
  <c r="G19" i="8"/>
  <c r="K19" i="8" s="1"/>
  <c r="O19" i="8" s="1"/>
  <c r="R19" i="8" s="1"/>
  <c r="U19" i="8" s="1"/>
  <c r="X19" i="8" s="1"/>
  <c r="N18" i="8"/>
  <c r="L18" i="8"/>
  <c r="G18" i="8"/>
  <c r="K18" i="8" s="1"/>
  <c r="O18" i="8" s="1"/>
  <c r="R18" i="8" s="1"/>
  <c r="U18" i="8" s="1"/>
  <c r="X18" i="8" s="1"/>
  <c r="N17" i="8"/>
  <c r="L17" i="8"/>
  <c r="G17" i="8"/>
  <c r="K17" i="8" s="1"/>
  <c r="O17" i="8" s="1"/>
  <c r="R17" i="8" s="1"/>
  <c r="U17" i="8" s="1"/>
  <c r="X17" i="8" s="1"/>
  <c r="N16" i="8"/>
  <c r="L16" i="8"/>
  <c r="I16" i="8"/>
  <c r="G16" i="8"/>
  <c r="K16" i="8" s="1"/>
  <c r="O16" i="8" s="1"/>
  <c r="R16" i="8" s="1"/>
  <c r="U16" i="8" s="1"/>
  <c r="N15" i="8"/>
  <c r="M15" i="8"/>
  <c r="L15" i="8"/>
  <c r="E15" i="8"/>
  <c r="E21" i="8" s="1"/>
  <c r="D15" i="8"/>
  <c r="D21" i="8" s="1"/>
  <c r="D22" i="8" s="1"/>
  <c r="N14" i="8"/>
  <c r="E14" i="8"/>
  <c r="D14" i="8"/>
  <c r="G14" i="8" s="1"/>
  <c r="N13" i="8"/>
  <c r="N21" i="8" s="1"/>
  <c r="I13" i="8"/>
  <c r="I21" i="8" s="1"/>
  <c r="H13" i="8"/>
  <c r="H21" i="8" s="1"/>
  <c r="W10" i="8"/>
  <c r="W22" i="8" s="1"/>
  <c r="V10" i="8"/>
  <c r="Q10" i="8"/>
  <c r="Q22" i="8" s="1"/>
  <c r="P10" i="8"/>
  <c r="P22" i="8" s="1"/>
  <c r="N10" i="8"/>
  <c r="M10" i="8"/>
  <c r="M22" i="8" s="1"/>
  <c r="H10" i="8"/>
  <c r="G10" i="8"/>
  <c r="F10" i="8"/>
  <c r="F22" i="8" s="1"/>
  <c r="E10" i="8"/>
  <c r="E22" i="8" s="1"/>
  <c r="C10" i="8"/>
  <c r="C22" i="8" s="1"/>
  <c r="K9" i="8"/>
  <c r="O9" i="8" s="1"/>
  <c r="R9" i="8" s="1"/>
  <c r="U9" i="8" s="1"/>
  <c r="X9" i="8" s="1"/>
  <c r="D9" i="8"/>
  <c r="N8" i="8"/>
  <c r="K8" i="8"/>
  <c r="O8" i="8" s="1"/>
  <c r="R8" i="8" s="1"/>
  <c r="U8" i="8" s="1"/>
  <c r="X8" i="8" s="1"/>
  <c r="D8" i="8"/>
  <c r="D10" i="8" s="1"/>
  <c r="N7" i="8"/>
  <c r="M7" i="8"/>
  <c r="L7" i="8"/>
  <c r="K7" i="8"/>
  <c r="O7" i="8" s="1"/>
  <c r="R7" i="8" s="1"/>
  <c r="U7" i="8" s="1"/>
  <c r="X7" i="8" s="1"/>
  <c r="J7" i="8"/>
  <c r="C7" i="8"/>
  <c r="T6" i="8"/>
  <c r="T10" i="8" s="1"/>
  <c r="T22" i="8" s="1"/>
  <c r="S6" i="8"/>
  <c r="S10" i="8" s="1"/>
  <c r="S22" i="8" s="1"/>
  <c r="Q6" i="8"/>
  <c r="P6" i="8"/>
  <c r="N6" i="8"/>
  <c r="M6" i="8"/>
  <c r="L6" i="8"/>
  <c r="J6" i="8"/>
  <c r="J10" i="8" s="1"/>
  <c r="J22" i="8" s="1"/>
  <c r="I6" i="8"/>
  <c r="I10" i="8" s="1"/>
  <c r="F11" i="1" l="1"/>
  <c r="D46" i="10"/>
  <c r="E32" i="10"/>
  <c r="E42" i="10"/>
  <c r="E43" i="10"/>
  <c r="F43" i="10" s="1"/>
  <c r="E33" i="10"/>
  <c r="U18" i="11"/>
  <c r="U24" i="11" s="1"/>
  <c r="V8" i="11"/>
  <c r="W8" i="11" s="1"/>
  <c r="W18" i="11" s="1"/>
  <c r="W24" i="11" s="1"/>
  <c r="S18" i="11"/>
  <c r="T12" i="11"/>
  <c r="T14" i="11"/>
  <c r="D28" i="11"/>
  <c r="D35" i="11" s="1"/>
  <c r="T16" i="11"/>
  <c r="T17" i="11"/>
  <c r="T9" i="11"/>
  <c r="E33" i="11"/>
  <c r="E32" i="11"/>
  <c r="I11" i="1"/>
  <c r="I14" i="1" s="1"/>
  <c r="C11" i="1"/>
  <c r="C14" i="1" s="1"/>
  <c r="F33" i="4"/>
  <c r="F23" i="4" s="1"/>
  <c r="H22" i="8"/>
  <c r="N22" i="8"/>
  <c r="K14" i="8"/>
  <c r="O14" i="8" s="1"/>
  <c r="R14" i="8" s="1"/>
  <c r="U14" i="8" s="1"/>
  <c r="I22" i="8"/>
  <c r="K13" i="8"/>
  <c r="K6" i="8"/>
  <c r="G15" i="8"/>
  <c r="K15" i="8" s="1"/>
  <c r="O15" i="8" s="1"/>
  <c r="R15" i="8" s="1"/>
  <c r="U15" i="8" s="1"/>
  <c r="X15" i="8" s="1"/>
  <c r="E44" i="10" l="1"/>
  <c r="E45" i="10" s="1"/>
  <c r="S24" i="11"/>
  <c r="T18" i="11"/>
  <c r="V18" i="11"/>
  <c r="V24" i="11" s="1"/>
  <c r="D30" i="11" s="1"/>
  <c r="D37" i="11" s="1"/>
  <c r="K21" i="8"/>
  <c r="O13" i="8"/>
  <c r="V14" i="8"/>
  <c r="V21" i="8" s="1"/>
  <c r="V22" i="8" s="1"/>
  <c r="K10" i="8"/>
  <c r="K22" i="8" s="1"/>
  <c r="O6" i="8"/>
  <c r="G21" i="8"/>
  <c r="G22" i="8" s="1"/>
  <c r="X13" i="8" l="1"/>
  <c r="X21" i="8" s="1"/>
  <c r="U13" i="8"/>
  <c r="U21" i="8" s="1"/>
  <c r="R13" i="8"/>
  <c r="R21" i="8" s="1"/>
  <c r="O21" i="8"/>
  <c r="R6" i="8"/>
  <c r="O10" i="8"/>
  <c r="O22" i="8" s="1"/>
  <c r="X14" i="8"/>
  <c r="U6" i="8" l="1"/>
  <c r="R10" i="8"/>
  <c r="R22" i="8" s="1"/>
  <c r="U10" i="8" l="1"/>
  <c r="U22" i="8" s="1"/>
  <c r="X6" i="8"/>
  <c r="X10" i="8" s="1"/>
  <c r="X22" i="8" s="1"/>
  <c r="E24" i="3" l="1"/>
  <c r="F24" i="3"/>
  <c r="H46" i="3" l="1"/>
  <c r="G46" i="3"/>
  <c r="E32" i="3"/>
  <c r="E5" i="5" s="1"/>
  <c r="F47" i="3"/>
  <c r="G47" i="3" s="1"/>
  <c r="H47" i="3" s="1"/>
  <c r="F48" i="3"/>
  <c r="E46" i="3"/>
  <c r="D40" i="3" s="1"/>
  <c r="D5" i="4"/>
  <c r="M33" i="3" l="1"/>
  <c r="C23" i="7"/>
  <c r="H48" i="3"/>
  <c r="D42" i="3"/>
  <c r="D19" i="4"/>
  <c r="G48" i="3"/>
  <c r="E48" i="3"/>
  <c r="D34" i="3"/>
  <c r="F36" i="3"/>
  <c r="I35" i="3"/>
  <c r="E5" i="3"/>
  <c r="E5" i="4" s="1"/>
  <c r="E49" i="3"/>
  <c r="D37" i="3"/>
  <c r="D6" i="1" l="1"/>
  <c r="D18" i="4"/>
  <c r="E50" i="3"/>
  <c r="E51" i="3" s="1"/>
  <c r="E52" i="3" s="1"/>
  <c r="D38" i="3"/>
  <c r="D39" i="3" s="1"/>
  <c r="D43" i="3" s="1"/>
  <c r="D9" i="4"/>
  <c r="F49" i="3"/>
  <c r="F50" i="3" s="1"/>
  <c r="F51" i="3" s="1"/>
  <c r="F52" i="3" s="1"/>
  <c r="F33" i="3"/>
  <c r="I36" i="3"/>
  <c r="E12" i="1" s="1"/>
  <c r="E8" i="3"/>
  <c r="H33" i="3"/>
  <c r="E6" i="3"/>
  <c r="E6" i="4" s="1"/>
  <c r="E7" i="4" s="1"/>
  <c r="E8" i="4" s="1"/>
  <c r="E34" i="3"/>
  <c r="E37" i="3"/>
  <c r="E9" i="4" s="1"/>
  <c r="F5" i="3"/>
  <c r="F5" i="4" s="1"/>
  <c r="H32" i="3"/>
  <c r="J35" i="3"/>
  <c r="F8" i="3"/>
  <c r="F37" i="3"/>
  <c r="F9" i="4" s="1"/>
  <c r="J36" i="3"/>
  <c r="D6" i="3"/>
  <c r="D6" i="4" s="1"/>
  <c r="D5" i="3"/>
  <c r="C11" i="7"/>
  <c r="H7" i="7"/>
  <c r="F7" i="7"/>
  <c r="C7" i="7"/>
  <c r="D7" i="7"/>
  <c r="E7" i="7" s="1"/>
  <c r="N39" i="6"/>
  <c r="O38" i="6" s="1"/>
  <c r="N38" i="6"/>
  <c r="O37" i="6"/>
  <c r="N37" i="6"/>
  <c r="O36" i="6" s="1"/>
  <c r="N36" i="6"/>
  <c r="T18" i="6" s="1"/>
  <c r="N35" i="6"/>
  <c r="N34" i="6"/>
  <c r="T16" i="6" s="1"/>
  <c r="N33" i="6"/>
  <c r="T15" i="6" s="1"/>
  <c r="N32" i="6"/>
  <c r="T14" i="6" s="1"/>
  <c r="O31" i="6"/>
  <c r="N31" i="6"/>
  <c r="O30" i="6" s="1"/>
  <c r="N30" i="6"/>
  <c r="T12" i="6" s="1"/>
  <c r="N29" i="6"/>
  <c r="N28" i="6"/>
  <c r="T10" i="6" s="1"/>
  <c r="N27" i="6"/>
  <c r="O27" i="6" s="1"/>
  <c r="S21" i="6"/>
  <c r="N21" i="6"/>
  <c r="M21" i="6"/>
  <c r="L21" i="6"/>
  <c r="K21" i="6"/>
  <c r="J21" i="6"/>
  <c r="I21" i="6"/>
  <c r="H21" i="6"/>
  <c r="G21" i="6"/>
  <c r="T20" i="6"/>
  <c r="M20" i="6"/>
  <c r="L20" i="6"/>
  <c r="K20" i="6"/>
  <c r="J20" i="6"/>
  <c r="I20" i="6"/>
  <c r="H20" i="6"/>
  <c r="G20" i="6"/>
  <c r="F20" i="6"/>
  <c r="E20" i="6"/>
  <c r="D20" i="6"/>
  <c r="C20" i="6"/>
  <c r="B20" i="6"/>
  <c r="T19" i="6"/>
  <c r="M19" i="6"/>
  <c r="L19" i="6"/>
  <c r="K19" i="6"/>
  <c r="J19" i="6"/>
  <c r="I19" i="6"/>
  <c r="H19" i="6"/>
  <c r="G19" i="6"/>
  <c r="F19" i="6"/>
  <c r="E19" i="6"/>
  <c r="D19" i="6"/>
  <c r="C19" i="6"/>
  <c r="B19" i="6"/>
  <c r="M18" i="6"/>
  <c r="L18" i="6"/>
  <c r="K18" i="6"/>
  <c r="J18" i="6"/>
  <c r="I18" i="6"/>
  <c r="H18" i="6"/>
  <c r="G18" i="6"/>
  <c r="F18" i="6"/>
  <c r="E18" i="6"/>
  <c r="D18" i="6"/>
  <c r="C18" i="6"/>
  <c r="B18" i="6"/>
  <c r="T17" i="6"/>
  <c r="M17" i="6"/>
  <c r="L17" i="6"/>
  <c r="K17" i="6"/>
  <c r="J17" i="6"/>
  <c r="I17" i="6"/>
  <c r="H17" i="6"/>
  <c r="G17" i="6"/>
  <c r="F17" i="6"/>
  <c r="E17" i="6"/>
  <c r="D17" i="6"/>
  <c r="C17" i="6"/>
  <c r="B17" i="6"/>
  <c r="M16" i="6"/>
  <c r="L16" i="6"/>
  <c r="K16" i="6"/>
  <c r="J16" i="6"/>
  <c r="I16" i="6"/>
  <c r="H16" i="6"/>
  <c r="G16" i="6"/>
  <c r="F16" i="6"/>
  <c r="E16" i="6"/>
  <c r="D16" i="6"/>
  <c r="C16" i="6"/>
  <c r="B16" i="6"/>
  <c r="M15" i="6"/>
  <c r="L15" i="6"/>
  <c r="K15" i="6"/>
  <c r="J15" i="6"/>
  <c r="I15" i="6"/>
  <c r="H15" i="6"/>
  <c r="G15" i="6"/>
  <c r="F15" i="6"/>
  <c r="E15" i="6"/>
  <c r="D15" i="6"/>
  <c r="C15" i="6"/>
  <c r="B15" i="6"/>
  <c r="M14" i="6"/>
  <c r="L14" i="6"/>
  <c r="K14" i="6"/>
  <c r="J14" i="6"/>
  <c r="I14" i="6"/>
  <c r="H14" i="6"/>
  <c r="G14" i="6"/>
  <c r="F14" i="6"/>
  <c r="E14" i="6"/>
  <c r="D14" i="6"/>
  <c r="C14" i="6"/>
  <c r="B14" i="6"/>
  <c r="T13" i="6"/>
  <c r="M13" i="6"/>
  <c r="L13" i="6"/>
  <c r="K13" i="6"/>
  <c r="J13" i="6"/>
  <c r="I13" i="6"/>
  <c r="H13" i="6"/>
  <c r="G13" i="6"/>
  <c r="F13" i="6"/>
  <c r="E13" i="6"/>
  <c r="D13" i="6"/>
  <c r="C13" i="6"/>
  <c r="B13" i="6"/>
  <c r="M12" i="6"/>
  <c r="L12" i="6"/>
  <c r="K12" i="6"/>
  <c r="J12" i="6"/>
  <c r="I12" i="6"/>
  <c r="H12" i="6"/>
  <c r="G12" i="6"/>
  <c r="F12" i="6"/>
  <c r="E12" i="6"/>
  <c r="D12" i="6"/>
  <c r="C12" i="6"/>
  <c r="B12" i="6"/>
  <c r="T11" i="6"/>
  <c r="M11" i="6"/>
  <c r="L11" i="6"/>
  <c r="K11" i="6"/>
  <c r="J11" i="6"/>
  <c r="I11" i="6"/>
  <c r="H11" i="6"/>
  <c r="G11" i="6"/>
  <c r="F11" i="6"/>
  <c r="E11" i="6"/>
  <c r="D11" i="6"/>
  <c r="C11" i="6"/>
  <c r="B11" i="6"/>
  <c r="M10" i="6"/>
  <c r="L10" i="6"/>
  <c r="K10" i="6"/>
  <c r="J10" i="6"/>
  <c r="I10" i="6"/>
  <c r="H10" i="6"/>
  <c r="G10" i="6"/>
  <c r="F10" i="6"/>
  <c r="E10" i="6"/>
  <c r="D10" i="6"/>
  <c r="C10" i="6"/>
  <c r="B10" i="6"/>
  <c r="M9" i="6"/>
  <c r="L9" i="6"/>
  <c r="K9" i="6"/>
  <c r="J9" i="6"/>
  <c r="I9" i="6"/>
  <c r="H9" i="6"/>
  <c r="G9" i="6"/>
  <c r="F9" i="6"/>
  <c r="E9" i="6"/>
  <c r="D9" i="6"/>
  <c r="C9" i="6"/>
  <c r="B9" i="6"/>
  <c r="G6" i="1" l="1"/>
  <c r="E18" i="4"/>
  <c r="G49" i="3"/>
  <c r="G50" i="3" s="1"/>
  <c r="G51" i="3" s="1"/>
  <c r="G52" i="3" s="1"/>
  <c r="F6" i="3"/>
  <c r="F6" i="4" s="1"/>
  <c r="F7" i="4" s="1"/>
  <c r="F8" i="4" s="1"/>
  <c r="F34" i="3"/>
  <c r="F38" i="3" s="1"/>
  <c r="F39" i="3" s="1"/>
  <c r="E10" i="4"/>
  <c r="E11" i="4" s="1"/>
  <c r="I37" i="3"/>
  <c r="F10" i="4"/>
  <c r="E7" i="3"/>
  <c r="E9" i="3" s="1"/>
  <c r="E38" i="3"/>
  <c r="E39" i="3" s="1"/>
  <c r="N12" i="6"/>
  <c r="S12" i="6" s="1"/>
  <c r="U12" i="6" s="1"/>
  <c r="N13" i="6"/>
  <c r="S13" i="6" s="1"/>
  <c r="U13" i="6" s="1"/>
  <c r="N9" i="6"/>
  <c r="S9" i="6" s="1"/>
  <c r="N14" i="6"/>
  <c r="N17" i="6"/>
  <c r="N18" i="6"/>
  <c r="N19" i="6"/>
  <c r="E6" i="1"/>
  <c r="N11" i="6"/>
  <c r="N15" i="6"/>
  <c r="S15" i="6" s="1"/>
  <c r="U15" i="6" s="1"/>
  <c r="N20" i="6"/>
  <c r="O20" i="6" s="1"/>
  <c r="N10" i="6"/>
  <c r="S10" i="6" s="1"/>
  <c r="U10" i="6" s="1"/>
  <c r="N16" i="6"/>
  <c r="S16" i="6" s="1"/>
  <c r="U16" i="6" s="1"/>
  <c r="D5" i="1"/>
  <c r="E5" i="1" s="1"/>
  <c r="J37" i="3"/>
  <c r="T9" i="6"/>
  <c r="T21" i="6"/>
  <c r="U21" i="6" s="1"/>
  <c r="O32" i="6"/>
  <c r="O33" i="6"/>
  <c r="O34" i="6"/>
  <c r="O29" i="6"/>
  <c r="O35" i="6"/>
  <c r="O28" i="6"/>
  <c r="F7" i="3" l="1"/>
  <c r="F9" i="3" s="1"/>
  <c r="F10" i="3" s="1"/>
  <c r="F11" i="3" s="1"/>
  <c r="F11" i="4"/>
  <c r="E10" i="3"/>
  <c r="E11" i="3" s="1"/>
  <c r="V13" i="6"/>
  <c r="O10" i="6"/>
  <c r="O16" i="6"/>
  <c r="O19" i="6"/>
  <c r="O14" i="6"/>
  <c r="S20" i="6"/>
  <c r="U20" i="6" s="1"/>
  <c r="V21" i="6" s="1"/>
  <c r="S14" i="6"/>
  <c r="U14" i="6" s="1"/>
  <c r="V15" i="6" s="1"/>
  <c r="O9" i="6"/>
  <c r="O13" i="6"/>
  <c r="O12" i="6"/>
  <c r="O18" i="6"/>
  <c r="U9" i="6"/>
  <c r="V10" i="6" s="1"/>
  <c r="S19" i="6"/>
  <c r="U19" i="6" s="1"/>
  <c r="S17" i="6"/>
  <c r="U17" i="6" s="1"/>
  <c r="V17" i="6" s="1"/>
  <c r="V16" i="6"/>
  <c r="O11" i="6"/>
  <c r="S11" i="6"/>
  <c r="U11" i="6" s="1"/>
  <c r="V11" i="6" s="1"/>
  <c r="O17" i="6"/>
  <c r="H6" i="1"/>
  <c r="O15" i="6"/>
  <c r="S18" i="6"/>
  <c r="U18" i="6" s="1"/>
  <c r="P38" i="6"/>
  <c r="B2" i="6" s="1"/>
  <c r="V14" i="6" l="1"/>
  <c r="P19" i="6"/>
  <c r="V20" i="6"/>
  <c r="P20" i="6"/>
  <c r="B3" i="6" s="1"/>
  <c r="C18" i="7" s="1"/>
  <c r="C19" i="7" s="1"/>
  <c r="V18" i="6"/>
  <c r="V12" i="6"/>
  <c r="V19" i="6"/>
  <c r="D12" i="7"/>
  <c r="C13" i="7"/>
  <c r="D24" i="7" l="1"/>
  <c r="C26" i="7"/>
  <c r="G5" i="7" s="1"/>
  <c r="G4" i="7"/>
  <c r="D11" i="7"/>
  <c r="G6" i="7"/>
  <c r="D17" i="7"/>
  <c r="D18" i="7" l="1"/>
  <c r="D19" i="7" s="1"/>
  <c r="I6" i="7" s="1"/>
  <c r="D26" i="7"/>
  <c r="I5" i="7" s="1"/>
  <c r="G7" i="7"/>
  <c r="D13" i="7"/>
  <c r="I7" i="7" l="1"/>
  <c r="G5" i="1"/>
  <c r="E4" i="5" s="1"/>
  <c r="D59" i="5"/>
  <c r="D60" i="5" s="1"/>
  <c r="D10" i="5" s="1"/>
  <c r="D41" i="5"/>
  <c r="D40" i="5"/>
  <c r="D42" i="5" s="1"/>
  <c r="D31" i="4"/>
  <c r="D8" i="3"/>
  <c r="D10" i="4" s="1"/>
  <c r="D24" i="3"/>
  <c r="J5" i="1" l="1"/>
  <c r="H5" i="1"/>
  <c r="D7" i="3"/>
  <c r="D9" i="3" s="1"/>
  <c r="D33" i="4"/>
  <c r="D23" i="4" s="1"/>
  <c r="D7" i="4"/>
  <c r="D8" i="4" s="1"/>
  <c r="D11" i="4" s="1"/>
  <c r="D16" i="4" s="1"/>
  <c r="M5" i="1" l="1"/>
  <c r="F4" i="5"/>
  <c r="K5" i="1"/>
  <c r="N5" i="1"/>
  <c r="D16" i="3"/>
  <c r="H59" i="3"/>
  <c r="H61" i="3"/>
  <c r="H60" i="3"/>
  <c r="H62" i="3"/>
  <c r="H63" i="3"/>
  <c r="D10" i="3"/>
  <c r="D11" i="3" s="1"/>
  <c r="D15" i="3" s="1"/>
  <c r="D26" i="3" s="1"/>
  <c r="D17" i="4" l="1"/>
  <c r="D21" i="4" s="1"/>
  <c r="D17" i="3"/>
  <c r="D22" i="4" l="1"/>
  <c r="D24" i="4" s="1"/>
  <c r="D7" i="1" s="1"/>
  <c r="E7" i="1" s="1"/>
  <c r="E16" i="4"/>
  <c r="F20" i="13" l="1"/>
  <c r="F12" i="1" l="1"/>
  <c r="F14" i="1" l="1"/>
  <c r="G12" i="1"/>
  <c r="H12" i="1" s="1"/>
  <c r="F21" i="13" l="1"/>
  <c r="E27" i="13" l="1"/>
  <c r="F27" i="13"/>
  <c r="E24" i="13" l="1"/>
  <c r="F22" i="13" l="1"/>
  <c r="F24" i="13"/>
  <c r="F23" i="13" l="1"/>
  <c r="F25" i="13" s="1"/>
  <c r="F29" i="13" s="1"/>
  <c r="E12" i="13" l="1"/>
  <c r="E8" i="13"/>
  <c r="E4" i="13"/>
  <c r="F12" i="13"/>
  <c r="F8" i="13"/>
  <c r="F4" i="13"/>
  <c r="E16" i="13" l="1"/>
  <c r="F16" i="13"/>
  <c r="F47" i="13" s="1"/>
  <c r="F63" i="13" l="1"/>
  <c r="F62" i="13"/>
  <c r="F54" i="13"/>
  <c r="F46" i="13"/>
  <c r="F49" i="13"/>
  <c r="F36" i="13"/>
  <c r="F67" i="13"/>
  <c r="F34" i="13"/>
  <c r="F53" i="13"/>
  <c r="F61" i="13"/>
  <c r="F39" i="13"/>
  <c r="F59" i="13"/>
  <c r="F64" i="13" s="1"/>
  <c r="E50" i="13"/>
  <c r="E54" i="13"/>
  <c r="F65" i="13"/>
  <c r="F48" i="13"/>
  <c r="E40" i="13"/>
  <c r="E53" i="13"/>
  <c r="F40" i="13"/>
  <c r="F60" i="13"/>
  <c r="F41" i="13"/>
  <c r="F66" i="13"/>
  <c r="E63" i="13"/>
  <c r="F37" i="13"/>
  <c r="E37" i="13"/>
  <c r="F52" i="13"/>
  <c r="E66" i="13"/>
  <c r="F33" i="13"/>
  <c r="E41" i="13"/>
  <c r="F50" i="13"/>
  <c r="E67" i="13"/>
  <c r="F35" i="13"/>
  <c r="F51" i="13" l="1"/>
  <c r="F55" i="13"/>
  <c r="F38" i="13"/>
  <c r="F42" i="13" s="1"/>
  <c r="F114" i="13"/>
  <c r="F113" i="13"/>
  <c r="F106" i="13"/>
  <c r="F124" i="13" s="1"/>
  <c r="F130" i="13" s="1"/>
  <c r="F136" i="13" s="1"/>
  <c r="F107" i="13"/>
  <c r="F125" i="13" s="1"/>
  <c r="F131" i="13" s="1"/>
  <c r="F137" i="13" s="1"/>
  <c r="F108" i="13"/>
  <c r="F68" i="13"/>
  <c r="F120" i="13" s="1"/>
  <c r="F126" i="13" l="1"/>
  <c r="F132" i="13" s="1"/>
  <c r="F138" i="13" s="1"/>
  <c r="E26" i="13" l="1"/>
  <c r="E65" i="13" l="1"/>
  <c r="E52" i="13"/>
  <c r="E39" i="13"/>
  <c r="E20" i="13" l="1"/>
  <c r="E59" i="13" l="1"/>
  <c r="E46" i="13"/>
  <c r="E33" i="13"/>
  <c r="E22" i="13" l="1"/>
  <c r="E61" i="13" l="1"/>
  <c r="E48" i="13"/>
  <c r="E35" i="13"/>
  <c r="E21" i="13" l="1"/>
  <c r="E25" i="13" l="1"/>
  <c r="E29" i="13" s="1"/>
  <c r="E34" i="13"/>
  <c r="E38" i="13" s="1"/>
  <c r="E42" i="13" s="1"/>
  <c r="E60" i="13"/>
  <c r="E64" i="13" s="1"/>
  <c r="E68" i="13" s="1"/>
  <c r="E120" i="13" s="1"/>
  <c r="E47" i="13"/>
  <c r="E51" i="13" s="1"/>
  <c r="E55" i="13" s="1"/>
  <c r="E113" i="13" l="1"/>
  <c r="E114" i="13"/>
  <c r="E108" i="13"/>
  <c r="E106" i="13"/>
  <c r="E124" i="13" s="1"/>
  <c r="E130" i="13" s="1"/>
  <c r="E136" i="13" s="1"/>
  <c r="E107" i="13"/>
  <c r="E125" i="13" l="1"/>
  <c r="E131" i="13" s="1"/>
  <c r="E137" i="13" s="1"/>
  <c r="E126" i="13"/>
  <c r="E132" i="13" s="1"/>
  <c r="E138" i="13" s="1"/>
  <c r="E23" i="13" l="1"/>
  <c r="E36" i="13"/>
  <c r="E49" i="13"/>
  <c r="E62" i="13"/>
  <c r="E41" i="3" l="1"/>
  <c r="F41" i="3"/>
  <c r="F42" i="3" l="1"/>
  <c r="E18" i="3" s="1"/>
  <c r="F43" i="3"/>
  <c r="E42" i="3"/>
  <c r="D18" i="3" s="1"/>
  <c r="E43" i="3"/>
  <c r="D20" i="3" l="1"/>
  <c r="E15" i="3" s="1"/>
  <c r="D27" i="3"/>
  <c r="D28" i="3" s="1"/>
  <c r="D9" i="1" s="1"/>
  <c r="E9" i="1" s="1"/>
  <c r="E26" i="3" l="1"/>
  <c r="G41" i="3" l="1"/>
  <c r="G40" i="3" l="1"/>
  <c r="F19" i="4" l="1"/>
  <c r="G42" i="3"/>
  <c r="F18" i="3" s="1"/>
  <c r="F60" i="3" l="1"/>
  <c r="F62" i="3"/>
  <c r="F61" i="3"/>
  <c r="F59" i="3" l="1"/>
  <c r="G32" i="3" l="1"/>
  <c r="G35" i="3"/>
  <c r="I32" i="3" l="1"/>
  <c r="K35" i="3"/>
  <c r="K36" i="3"/>
  <c r="J12" i="1" s="1"/>
  <c r="G37" i="3"/>
  <c r="K12" i="1" l="1"/>
  <c r="M12" i="1"/>
  <c r="F18" i="4"/>
  <c r="K37" i="3"/>
  <c r="J6" i="1"/>
  <c r="L35" i="3"/>
  <c r="H49" i="3"/>
  <c r="H50" i="3" s="1"/>
  <c r="H51" i="3" s="1"/>
  <c r="H52" i="3" s="1"/>
  <c r="F16" i="3"/>
  <c r="G34" i="3"/>
  <c r="G38" i="3" s="1"/>
  <c r="G39" i="3" s="1"/>
  <c r="G43" i="3" s="1"/>
  <c r="F17" i="4" l="1"/>
  <c r="F17" i="3"/>
  <c r="F27" i="3" s="1"/>
  <c r="M6" i="1"/>
  <c r="K6" i="1"/>
  <c r="N6" i="1"/>
  <c r="K10" i="1" l="1"/>
  <c r="F16" i="4"/>
  <c r="E17" i="4"/>
  <c r="E21" i="4"/>
  <c r="F21" i="4"/>
  <c r="E22" i="4"/>
  <c r="F22" i="4"/>
  <c r="E24" i="4"/>
  <c r="F24" i="4"/>
  <c r="D6" i="5"/>
  <c r="E6" i="5"/>
  <c r="F6" i="5"/>
  <c r="D9" i="5"/>
  <c r="E9" i="5"/>
  <c r="F9" i="5"/>
  <c r="D11" i="5"/>
  <c r="E11" i="5"/>
  <c r="F11" i="5"/>
  <c r="D12" i="5"/>
  <c r="E12" i="5"/>
  <c r="F12" i="5"/>
  <c r="F15" i="3"/>
  <c r="E16" i="3"/>
  <c r="E17" i="3"/>
  <c r="E20" i="3"/>
  <c r="F20" i="3"/>
  <c r="F26" i="3"/>
  <c r="E27" i="3"/>
  <c r="E28" i="3"/>
  <c r="F28" i="3"/>
  <c r="E59" i="3"/>
  <c r="E60" i="3"/>
  <c r="E61" i="3"/>
  <c r="E62" i="3"/>
  <c r="G7" i="1"/>
  <c r="H7" i="1"/>
  <c r="J7" i="1"/>
  <c r="K7" i="1"/>
  <c r="M7" i="1"/>
  <c r="N7" i="1"/>
  <c r="D8" i="1"/>
  <c r="E8" i="1"/>
  <c r="G8" i="1"/>
  <c r="H8" i="1"/>
  <c r="J8" i="1"/>
  <c r="K8" i="1"/>
  <c r="M8" i="1"/>
  <c r="G9" i="1"/>
  <c r="H9" i="1"/>
  <c r="J9" i="1"/>
  <c r="K9" i="1"/>
  <c r="M9" i="1"/>
  <c r="N9" i="1"/>
  <c r="D11" i="1"/>
  <c r="E11" i="1"/>
  <c r="G11" i="1"/>
  <c r="H11" i="1"/>
  <c r="J11" i="1"/>
  <c r="K11" i="1"/>
  <c r="M11" i="1"/>
  <c r="N11" i="1"/>
  <c r="O11" i="1"/>
  <c r="D14" i="1"/>
  <c r="E14" i="1"/>
  <c r="G14" i="1"/>
  <c r="H14" i="1"/>
  <c r="J14" i="1"/>
  <c r="K14" i="1"/>
  <c r="M14" i="1"/>
  <c r="N14" i="1"/>
  <c r="O14" i="1"/>
  <c r="J15" i="1"/>
</calcChain>
</file>

<file path=xl/comments1.xml><?xml version="1.0" encoding="utf-8"?>
<comments xmlns="http://schemas.openxmlformats.org/spreadsheetml/2006/main">
  <authors>
    <author>TGSPDCL</author>
  </authors>
  <commentList>
    <comment ref="F22" authorId="0">
      <text>
        <r>
          <rPr>
            <b/>
            <sz val="9"/>
            <color indexed="81"/>
            <rFont val="Tahoma"/>
            <family val="2"/>
          </rPr>
          <t>1400101 to 1400103 Credit amount</t>
        </r>
      </text>
    </comment>
  </commentList>
</comments>
</file>

<file path=xl/comments2.xml><?xml version="1.0" encoding="utf-8"?>
<comments xmlns="http://schemas.openxmlformats.org/spreadsheetml/2006/main">
  <authors>
    <author>TGSPDCL</author>
  </authors>
  <commentList>
    <comment ref="F22" authorId="0">
      <text>
        <r>
          <rPr>
            <b/>
            <sz val="9"/>
            <color indexed="81"/>
            <rFont val="Tahoma"/>
            <family val="2"/>
          </rPr>
          <t>1400101 to 1400103 Credit amount</t>
        </r>
      </text>
    </comment>
  </commentList>
</comments>
</file>

<file path=xl/comments3.xml><?xml version="1.0" encoding="utf-8"?>
<comments xmlns="http://schemas.openxmlformats.org/spreadsheetml/2006/main">
  <authors>
    <author>tc={9CB73413-1109-44BC-AB74-BD97F6C5F069}</author>
    <author>tc={53A56373-0B60-45C7-9852-E27609B376D3}</author>
    <author>tc={BC4F9055-8751-4898-AE93-38E0CFFEA83F}</author>
    <author>tc={7ED5C477-0346-4515-9932-30D9A4D5F96C}</author>
    <author>tc={CB013016-2AD6-44CA-9D57-67C27F8D1CDC}</author>
  </authors>
  <commentList>
    <comment ref="B31" author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Derived in the ratio of GFA</t>
        </r>
      </text>
    </comment>
    <comment ref="B44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Derived in the ratio of GFA</t>
        </r>
      </text>
    </comment>
    <comment ref="B57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Derived in the ratio of GFA</t>
        </r>
      </text>
    </comment>
    <comment ref="B70" authorId="3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As per MYT RST Order</t>
        </r>
      </text>
    </comment>
    <comment ref="B76" authorId="4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As per MYT Wheeling Tariff Order, Page 74</t>
        </r>
      </text>
    </comment>
  </commentList>
</comments>
</file>

<file path=xl/sharedStrings.xml><?xml version="1.0" encoding="utf-8"?>
<sst xmlns="http://schemas.openxmlformats.org/spreadsheetml/2006/main" count="939" uniqueCount="466">
  <si>
    <t>ARR</t>
  </si>
  <si>
    <t>FY 2024-25</t>
  </si>
  <si>
    <t>FY 2025-26</t>
  </si>
  <si>
    <t>FY 2026-27</t>
  </si>
  <si>
    <t>Particulars</t>
  </si>
  <si>
    <t>Approved</t>
  </si>
  <si>
    <t>Actuals</t>
  </si>
  <si>
    <t>Deviations</t>
  </si>
  <si>
    <t>Projected</t>
  </si>
  <si>
    <t>Operation &amp; Maintenance expenses</t>
  </si>
  <si>
    <t xml:space="preserve">Depreciation </t>
  </si>
  <si>
    <t xml:space="preserve">Interest and Finance Charges on Loan </t>
  </si>
  <si>
    <t xml:space="preserve">Interest on Working Capital </t>
  </si>
  <si>
    <t xml:space="preserve">Return on Equity </t>
  </si>
  <si>
    <t>Aggregate Revenue Requirement</t>
  </si>
  <si>
    <t>Less: Non-Tariff Income</t>
  </si>
  <si>
    <t>Less: Revenue from Open Access consumers (Wheeling charges)</t>
  </si>
  <si>
    <t>Net Aggregate Revenue Requirement</t>
  </si>
  <si>
    <t>S.No.</t>
  </si>
  <si>
    <t>Details</t>
  </si>
  <si>
    <t>Employee Expenses</t>
  </si>
  <si>
    <t>R&amp;M Expenses</t>
  </si>
  <si>
    <t>A&amp;G Expenses</t>
  </si>
  <si>
    <t>Total</t>
  </si>
  <si>
    <t>Employee Cost (n-1)</t>
  </si>
  <si>
    <t>CPI Inflation</t>
  </si>
  <si>
    <t>Employee Cost</t>
  </si>
  <si>
    <t>A&amp;G Cost (n-1)</t>
  </si>
  <si>
    <t>A&amp;G Cost</t>
  </si>
  <si>
    <t>GFA</t>
  </si>
  <si>
    <t>WPI Inflation</t>
  </si>
  <si>
    <t>K-Factor</t>
  </si>
  <si>
    <t>R&amp;M Cost</t>
  </si>
  <si>
    <t>Computation of Regulatory Equity at the beginning of the year (Rs. in Crs)</t>
  </si>
  <si>
    <t>Total GFA as on 31.03.2024</t>
  </si>
  <si>
    <t>(-) Consumer Contrubiton assets in GFA as on 31.03.2024</t>
  </si>
  <si>
    <t>Fixed Assets post removal of CC as on 31.03.2024</t>
  </si>
  <si>
    <t>(-)Accumulated Deprciation post removal of Dep due to CC</t>
  </si>
  <si>
    <t>Balance Assets after deduction of accumlated Depreciation</t>
  </si>
  <si>
    <t>Balance Assets Equity Protion (25%)</t>
  </si>
  <si>
    <t>Regulatory Equity at the beginning of the year FY 24-25</t>
  </si>
  <si>
    <t>Return on Equity Computation for FY  2024-25     (Rs. in Crs)</t>
  </si>
  <si>
    <t>FY 24-25            Actuals</t>
  </si>
  <si>
    <t>FY 25-26            Projected</t>
  </si>
  <si>
    <t>FY 26-27            Projected</t>
  </si>
  <si>
    <t>A) Regulatory Equity at the beginning of the year</t>
  </si>
  <si>
    <r>
      <t>B) Capitaliztion during the year</t>
    </r>
    <r>
      <rPr>
        <b/>
        <sz val="10"/>
        <rFont val="Arial"/>
        <family val="2"/>
      </rPr>
      <t xml:space="preserve"> (Capitalization - Consumer Contribution)</t>
    </r>
  </si>
  <si>
    <r>
      <t xml:space="preserve">C) Equity portion of capitalisation during the year </t>
    </r>
    <r>
      <rPr>
        <b/>
        <sz val="11"/>
        <color theme="1"/>
        <rFont val="Arial"/>
        <family val="2"/>
      </rPr>
      <t>(C=B*25%)</t>
    </r>
  </si>
  <si>
    <r>
      <t xml:space="preserve">D) Equity portion of fully depreciated assets                                                    </t>
    </r>
    <r>
      <rPr>
        <b/>
        <sz val="10"/>
        <rFont val="Arial"/>
        <family val="2"/>
      </rPr>
      <t>(During the year fully depreciated assets * 25%)</t>
    </r>
  </si>
  <si>
    <t>E) Reduction in Equity Capital on account of retirement / replacement of assets</t>
  </si>
  <si>
    <r>
      <t xml:space="preserve">F) Regulatory Equity at the end of the year </t>
    </r>
    <r>
      <rPr>
        <b/>
        <sz val="11"/>
        <color theme="1"/>
        <rFont val="Arial"/>
        <family val="2"/>
      </rPr>
      <t>(F=A+C-D)</t>
    </r>
  </si>
  <si>
    <t>Rate of Return on Equity</t>
  </si>
  <si>
    <t>G) Base rate of Return on Equity (14%+2%)</t>
  </si>
  <si>
    <t>H) Effective Income Tax rate</t>
  </si>
  <si>
    <r>
      <t xml:space="preserve">I) Rate of Return on Equity </t>
    </r>
    <r>
      <rPr>
        <b/>
        <sz val="11"/>
        <color theme="1"/>
        <rFont val="Arial"/>
        <family val="2"/>
      </rPr>
      <t>(I=G/(1-H))</t>
    </r>
  </si>
  <si>
    <t>Return on Equity Computation</t>
  </si>
  <si>
    <r>
      <t xml:space="preserve">J) Return on Regulatory Equity at the beginning of the year </t>
    </r>
    <r>
      <rPr>
        <b/>
        <sz val="11"/>
        <color theme="1"/>
        <rFont val="Arial"/>
        <family val="2"/>
      </rPr>
      <t>(J=A*I)</t>
    </r>
  </si>
  <si>
    <r>
      <t xml:space="preserve">K) Return on Regulatory Equity addition during the year </t>
    </r>
    <r>
      <rPr>
        <b/>
        <sz val="11"/>
        <color theme="1"/>
        <rFont val="Arial"/>
        <family val="2"/>
      </rPr>
      <t>(K=C-D*I/2)</t>
    </r>
  </si>
  <si>
    <t>L) Total Return on Equity (L=J+K)</t>
  </si>
  <si>
    <t xml:space="preserve">Actual GFA &amp; Depreciation details </t>
  </si>
  <si>
    <t>(Rs. in Crs)</t>
  </si>
  <si>
    <t>FY 2023-24</t>
  </si>
  <si>
    <t>Total GFA as on 31st March</t>
  </si>
  <si>
    <t>Consumer Contribution GFA as on 31st March</t>
  </si>
  <si>
    <t>Depreciation</t>
  </si>
  <si>
    <t>Fixed Assets post removal of CC</t>
  </si>
  <si>
    <t>FY25</t>
  </si>
  <si>
    <t>FY26</t>
  </si>
  <si>
    <t>FY27</t>
  </si>
  <si>
    <t>Accumlated Depreciation as on 31st March</t>
  </si>
  <si>
    <t>Consumer Contribution Accumlated Depreciation as on 31st March</t>
  </si>
  <si>
    <t>Accumulated Deprciation post removal of Dep due to CC</t>
  </si>
  <si>
    <t>Balance Assets Equity Portion (25%)</t>
  </si>
  <si>
    <t>Adjustment for CC in Fully Depreciated Assets</t>
  </si>
  <si>
    <t>UoM</t>
  </si>
  <si>
    <t xml:space="preserve">Fully depreciated asset </t>
  </si>
  <si>
    <t>Rs Cr</t>
  </si>
  <si>
    <t>Salvage value</t>
  </si>
  <si>
    <t>%</t>
  </si>
  <si>
    <t>Grossed Up value of assets prior to depreciation</t>
  </si>
  <si>
    <t>Ratio of consumer contribution</t>
  </si>
  <si>
    <t>Consumer contribution in Grossed up Value prior to depreciation</t>
  </si>
  <si>
    <t>Grossed up value of assets w/o consumer contribution</t>
  </si>
  <si>
    <t>Fully depreciated asset in FY 23 after consumer contribution</t>
  </si>
  <si>
    <t>Rs. in crore</t>
  </si>
  <si>
    <t>Capitalization</t>
  </si>
  <si>
    <t>New Investment</t>
  </si>
  <si>
    <t>O&amp;M Expenses Capitalised</t>
  </si>
  <si>
    <t>Interest During Construction capitalised</t>
  </si>
  <si>
    <t>Investment capitalized (Tranfer to Fixed Assets)</t>
  </si>
  <si>
    <t>Computation of Normative loan at the beginning of the year</t>
  </si>
  <si>
    <t>Loan = 75% of GFA excluding Consumer contribution 75%</t>
  </si>
  <si>
    <t>Accumulated Deprciation excluding Consumer contribution as on 31.03.2024</t>
  </si>
  <si>
    <t>Accumulated Deprciation excluding Consumer contribution 75%</t>
  </si>
  <si>
    <t>Opening balance of Normative loan 01-04-2024</t>
  </si>
  <si>
    <t>Interest and finance charges on loan Computation</t>
  </si>
  <si>
    <t>A) Opening balance of Normative loan</t>
  </si>
  <si>
    <r>
      <t>B) Addition of Normative Loan due to Capitaliztion during the year</t>
    </r>
    <r>
      <rPr>
        <b/>
        <sz val="10"/>
        <rFont val="Arial"/>
        <family val="2"/>
      </rPr>
      <t xml:space="preserve"> (Capitalization - Consumer Contribution*75%)</t>
    </r>
  </si>
  <si>
    <r>
      <t xml:space="preserve">C) Repayment of Normative Loan during the year                        </t>
    </r>
    <r>
      <rPr>
        <b/>
        <sz val="11"/>
        <color theme="1"/>
        <rFont val="Arial"/>
        <family val="2"/>
      </rPr>
      <t>(During the year depreciation)</t>
    </r>
  </si>
  <si>
    <t>E) Reduction of Normative Loan due to retirement / replacement of assets</t>
  </si>
  <si>
    <r>
      <t xml:space="preserve">F) Closing balance of Normative Loan </t>
    </r>
    <r>
      <rPr>
        <b/>
        <sz val="11"/>
        <color theme="1"/>
        <rFont val="Arial"/>
        <family val="2"/>
      </rPr>
      <t>(F=A+B-C+D-E)</t>
    </r>
  </si>
  <si>
    <r>
      <t xml:space="preserve">G) Average balance of Normative Loan </t>
    </r>
    <r>
      <rPr>
        <b/>
        <sz val="11"/>
        <color theme="1"/>
        <rFont val="Arial"/>
        <family val="2"/>
      </rPr>
      <t>(G=A+F/2)</t>
    </r>
  </si>
  <si>
    <t>H) Weighted average rate of Interest on actual Loans</t>
  </si>
  <si>
    <t>I) Interest Cost (I=G*H)</t>
  </si>
  <si>
    <t>Computation of weighted average rate of interest based on the long -term loan portfolio</t>
  </si>
  <si>
    <t>Actual long term loan opening balance of FY 2024-25</t>
  </si>
  <si>
    <t>Actual long term loan closing balance of FY 2024-25</t>
  </si>
  <si>
    <t>Average balance of FY 2024-25</t>
  </si>
  <si>
    <t>Acatual Interest paid in FY 2024-25</t>
  </si>
  <si>
    <t>Actual weighted average interest rate of FY 2024-25</t>
  </si>
  <si>
    <t>Distribution business</t>
  </si>
  <si>
    <t>FY 24-25</t>
  </si>
  <si>
    <t>FY 24-26</t>
  </si>
  <si>
    <t>FY 24-27</t>
  </si>
  <si>
    <t>O&amp;M expenses</t>
  </si>
  <si>
    <t>Maintenance spares</t>
  </si>
  <si>
    <t>Receivables</t>
  </si>
  <si>
    <t>Less:</t>
  </si>
  <si>
    <t>Security Deposits</t>
  </si>
  <si>
    <t>Total Working Capital requirement</t>
  </si>
  <si>
    <t>Interest rate</t>
  </si>
  <si>
    <t>Interest on working capital</t>
  </si>
  <si>
    <t>Distribution ARR linked to 100%</t>
  </si>
  <si>
    <t>Effective Date</t>
  </si>
  <si>
    <t>Interest Rate (%)</t>
  </si>
  <si>
    <t>ON</t>
  </si>
  <si>
    <t>1M</t>
  </si>
  <si>
    <t>3M</t>
  </si>
  <si>
    <t>6M</t>
  </si>
  <si>
    <t>1Y</t>
  </si>
  <si>
    <t>2Y</t>
  </si>
  <si>
    <t>3Y</t>
  </si>
  <si>
    <t>15.07.2025</t>
  </si>
  <si>
    <t xml:space="preserve">1 year MCLR of State Bank of India (Base Rate) in FY 2024-25 </t>
  </si>
  <si>
    <t>15.06.2025</t>
  </si>
  <si>
    <t>15.05.2025</t>
  </si>
  <si>
    <t>15.03.2025</t>
  </si>
  <si>
    <t>15.04.2025</t>
  </si>
  <si>
    <t>15.02.2025</t>
  </si>
  <si>
    <t>15.01.2025</t>
  </si>
  <si>
    <t>15.12.2024</t>
  </si>
  <si>
    <t>15.11.2024</t>
  </si>
  <si>
    <t>15.10.2024</t>
  </si>
  <si>
    <t>15.09.2024</t>
  </si>
  <si>
    <t>15.08.2024</t>
  </si>
  <si>
    <t>15.07.2024</t>
  </si>
  <si>
    <t>15.06.2024</t>
  </si>
  <si>
    <t>15.05.2024</t>
  </si>
  <si>
    <t>15.04.2024</t>
  </si>
  <si>
    <t>Average 1 year MCLR SBI (Base rate)</t>
  </si>
  <si>
    <t xml:space="preserve">Add: 150 basis points </t>
  </si>
  <si>
    <t>15.03.2024</t>
  </si>
  <si>
    <t>Interest on Working Capital</t>
  </si>
  <si>
    <t>15.02.2024</t>
  </si>
  <si>
    <t>15.01.2024</t>
  </si>
  <si>
    <t>15.12.2023</t>
  </si>
  <si>
    <t>15.11.2023</t>
  </si>
  <si>
    <t>15.10.2023</t>
  </si>
  <si>
    <t>15.09.2023</t>
  </si>
  <si>
    <t>15.08.2023</t>
  </si>
  <si>
    <t>15.07.2023</t>
  </si>
  <si>
    <t>15.06.2023</t>
  </si>
  <si>
    <t>15.05.2023</t>
  </si>
  <si>
    <t>15.04.2023</t>
  </si>
  <si>
    <t>15.03.2023</t>
  </si>
  <si>
    <t>15.02.2023</t>
  </si>
  <si>
    <t>15.01.2023</t>
  </si>
  <si>
    <t>15.03.2025 1 year MCLR SBI (Base rate)</t>
  </si>
  <si>
    <t>Last 5 Years CPI Average (FY 2020-21 to FY 2024-25)</t>
  </si>
  <si>
    <t>Last 5 Years WPI Average (FY 2020-21 to FY 2024-25)</t>
  </si>
  <si>
    <t>WPI Index</t>
  </si>
  <si>
    <t>WPI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</si>
  <si>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</si>
  <si>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</si>
  <si>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</si>
  <si>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</si>
  <si>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</si>
  <si>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</si>
  <si>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</si>
  <si>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</si>
  <si>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</si>
  <si>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</si>
  <si>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</si>
  <si>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</si>
  <si>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Avg.</t>
  </si>
  <si>
    <t>FY</t>
  </si>
  <si>
    <t>CPI</t>
  </si>
  <si>
    <t>Y-o-Y %</t>
  </si>
  <si>
    <t>FY14</t>
  </si>
  <si>
    <t>FY15</t>
  </si>
  <si>
    <t>FY16</t>
  </si>
  <si>
    <t>FY17</t>
  </si>
  <si>
    <t>FY18</t>
  </si>
  <si>
    <t>FY19</t>
  </si>
  <si>
    <t>FY20</t>
  </si>
  <si>
    <t>FY21</t>
  </si>
  <si>
    <t>FY22</t>
  </si>
  <si>
    <t>FY23</t>
  </si>
  <si>
    <t>FY24</t>
  </si>
  <si>
    <t>Year</t>
  </si>
  <si>
    <t>Source</t>
  </si>
  <si>
    <t>http://labourbureaunew.gov.in/LBO_indtab_new.pdf</t>
  </si>
  <si>
    <t xml:space="preserve">1. CPI Index shall be considered from the Website of Ministry of Labour Bureau, Government of India. </t>
  </si>
  <si>
    <t>https://eaindustry.nic.in/default.asp</t>
  </si>
  <si>
    <t>2. Since Base year change in Sep'21, same is changed to base year of 2001 by using linking factor of 2.88 as per PIB link shown below</t>
  </si>
  <si>
    <t>https://pib.gov.in/PressReleasePage.aspx?PRID=1666782</t>
  </si>
  <si>
    <t>TGSPDCL - PROJECTION OF WORKING CAPITAL LOANS FROM FY 2023-24 TO FY 2028-29 (YEARLY)</t>
  </si>
  <si>
    <t>Rs. In Crores</t>
  </si>
  <si>
    <t>Sl. No.</t>
  </si>
  <si>
    <t>Financial Institution</t>
  </si>
  <si>
    <t>FY 2027-28</t>
  </si>
  <si>
    <t>FY 2028-29</t>
  </si>
  <si>
    <t>Average Rate of Interest</t>
  </si>
  <si>
    <t>Opening Balance as on 01.04.2023</t>
  </si>
  <si>
    <t>Drawls</t>
  </si>
  <si>
    <t>Principal Repayment</t>
  </si>
  <si>
    <t>Interest</t>
  </si>
  <si>
    <t>Closing Balance as on 31-03-2024</t>
  </si>
  <si>
    <t>Closing Balance as on 31-03-2025</t>
  </si>
  <si>
    <t>Closing Balance as on 31-03-2026</t>
  </si>
  <si>
    <t>Closing Balance as on 31-03-2027</t>
  </si>
  <si>
    <t>Closing Balance as on 31-03-2028</t>
  </si>
  <si>
    <t>Closing Balance as on 31-03-2029</t>
  </si>
  <si>
    <t>A)</t>
  </si>
  <si>
    <t>LONG TERM:</t>
  </si>
  <si>
    <t>(a) REC LTD</t>
  </si>
  <si>
    <t>(b) PFC LTD.</t>
  </si>
  <si>
    <t>(c ) PFS LTD</t>
  </si>
  <si>
    <t>(d) FRP Bonds</t>
  </si>
  <si>
    <t>LONG TERM TOTAL (a)+(b)+(c )+(d):</t>
  </si>
  <si>
    <t>B)</t>
  </si>
  <si>
    <t>SHORT TERM:</t>
  </si>
  <si>
    <t>(a) SBI CC</t>
  </si>
  <si>
    <t xml:space="preserve">(b) REC RBPF </t>
  </si>
  <si>
    <t>(c ) PFC RBPF</t>
  </si>
  <si>
    <t>(d ) REC MTL</t>
  </si>
  <si>
    <t>(e ) PFC MTL</t>
  </si>
  <si>
    <t>(f ) IREDA</t>
  </si>
  <si>
    <t>(g ) TGTRANSCO</t>
  </si>
  <si>
    <t>(h) FRP Loans</t>
  </si>
  <si>
    <t>SHORT TERM TOTAL (a)+(b)+(c )+(d)+(e )+(f)+(g)+(h):</t>
  </si>
  <si>
    <t>GRAND TOTAL (A)+(B):</t>
  </si>
  <si>
    <t xml:space="preserve">                                                                                            Note No.11 - Property Plant, Equipment and Intangibles                       (Rs. In Crore)                                                                                                                                                                   </t>
  </si>
  <si>
    <t>S. No</t>
  </si>
  <si>
    <t>Gross  Carrying Values</t>
  </si>
  <si>
    <t>Depreciation &amp; Amortization</t>
  </si>
  <si>
    <t xml:space="preserve">    Net Carrying Values</t>
  </si>
  <si>
    <t>As at April 1, 2024</t>
  </si>
  <si>
    <t xml:space="preserve">Additions </t>
  </si>
  <si>
    <t xml:space="preserve">Deletions/      Adjustments </t>
  </si>
  <si>
    <t>Acquired through business combinations</t>
  </si>
  <si>
    <t>Deletions Through Business Combinations</t>
  </si>
  <si>
    <t>As at 31st March 2025</t>
  </si>
  <si>
    <t>As at 1st 
April 2024</t>
  </si>
  <si>
    <t>Depreciation charge for the year</t>
  </si>
  <si>
    <t xml:space="preserve">Deletions/ Adjustments </t>
  </si>
  <si>
    <t>Additions  through business combinations</t>
  </si>
  <si>
    <t>Deletions through business combinations</t>
  </si>
  <si>
    <t>As at 31st 
March 2025</t>
  </si>
  <si>
    <t>As at March 
31, 2024</t>
  </si>
  <si>
    <t>₹</t>
  </si>
  <si>
    <t>a</t>
  </si>
  <si>
    <t>Plant, Property and Equipment</t>
  </si>
  <si>
    <t xml:space="preserve">Land </t>
  </si>
  <si>
    <t>Buildings</t>
  </si>
  <si>
    <t>Other Civil Works</t>
  </si>
  <si>
    <t>Plant and Machinery</t>
  </si>
  <si>
    <t>Lines and Cable Network</t>
  </si>
  <si>
    <t>Meters and Metering equipment</t>
  </si>
  <si>
    <t>Vehicles</t>
  </si>
  <si>
    <t>Furniture and Fixtures</t>
  </si>
  <si>
    <t>Office Equipment</t>
  </si>
  <si>
    <t>Air Conditioners</t>
  </si>
  <si>
    <t>Computer &amp; IT Equipment</t>
  </si>
  <si>
    <t>Sub Total</t>
  </si>
  <si>
    <t>b</t>
  </si>
  <si>
    <t>Intangible Assets</t>
  </si>
  <si>
    <t>Computer Software</t>
  </si>
  <si>
    <t>c</t>
  </si>
  <si>
    <t>Capital Work in Progress</t>
  </si>
  <si>
    <t>d</t>
  </si>
  <si>
    <t>GRAND TOTAL (a+b+c)</t>
  </si>
  <si>
    <t>Grand Total of Previous Year</t>
  </si>
  <si>
    <t>* Depreciation rates as per Hon'ble CERC Notification have been adopted from the financial year 2022-23</t>
  </si>
  <si>
    <t>GFA AS ON 31.03.2024</t>
  </si>
  <si>
    <t>GFA AS ON 31.03.2025</t>
  </si>
  <si>
    <t>DEPRECIATION AS ON 31.03.2024</t>
  </si>
  <si>
    <t>DEPRECIATION AS ON 31.03.2025</t>
  </si>
  <si>
    <t>CC ASSETS AS ON 31.03.2023</t>
  </si>
  <si>
    <t>CC ASSETS AS ON 31.03.2024</t>
  </si>
  <si>
    <t>DEP ON CC ASSETS AS ON 31.03.2024</t>
  </si>
  <si>
    <t>DEP ON CC ASSETS AS ON 31.03.2025</t>
  </si>
  <si>
    <t>CAPITALIZATION DURING THE YR</t>
  </si>
  <si>
    <t>DEPRECIATION DURING THE YEAR 24</t>
  </si>
  <si>
    <t>DEPRECIATION DURING THE YEAR 25</t>
  </si>
  <si>
    <t>AMORTIZATION OF DEPRECIATION 24</t>
  </si>
  <si>
    <t>AMORTIZATION OF DEPRECIATION 25</t>
  </si>
  <si>
    <t>CUMULATIVE DEPRECIATION 24</t>
  </si>
  <si>
    <t>CUMULATIVE DEPRECIATION 25</t>
  </si>
  <si>
    <t>FULLY DEPRECIATED ASSETS AS ON 31.03.2024</t>
  </si>
  <si>
    <t>FULLY DEPRECIATED ASSETS AS ON 31.03.2025</t>
  </si>
  <si>
    <t>CC FULLY DEPRECIATED ASSETS AS ON 31.03.2024</t>
  </si>
  <si>
    <t>DURING THE YEAR FULLY DEPRECIATED EXCLUDING FULLY DEPRECIATED CC ASSETS FOR FY 2024-25</t>
  </si>
  <si>
    <t xml:space="preserve">FULLY DEPRECIATED ASSETS FOR FY </t>
  </si>
  <si>
    <t>Depreciation charge for the year as per TGERC</t>
  </si>
  <si>
    <t>Depreciation on New Assets</t>
  </si>
  <si>
    <t>As at 31st March 2025 as per TGERC</t>
  </si>
  <si>
    <t>Net GFA</t>
  </si>
  <si>
    <t>opening to be considered</t>
  </si>
  <si>
    <r>
      <rPr>
        <b/>
        <sz val="12"/>
        <rFont val="Arial"/>
        <family val="2"/>
      </rPr>
      <t>Annexure-I: DEPRECIATION SCHEDULE</t>
    </r>
  </si>
  <si>
    <t>TGERC</t>
  </si>
  <si>
    <r>
      <rPr>
        <b/>
        <sz val="11"/>
        <rFont val="Arial"/>
        <family val="2"/>
      </rPr>
      <t>Description of Assets</t>
    </r>
  </si>
  <si>
    <r>
      <rPr>
        <b/>
        <sz val="12"/>
        <rFont val="Arial"/>
        <family val="2"/>
      </rPr>
      <t>Life in Years</t>
    </r>
  </si>
  <si>
    <t>CERC Rates</t>
  </si>
  <si>
    <r>
      <rPr>
        <sz val="12"/>
        <rFont val="Arial"/>
        <family val="2"/>
      </rPr>
      <t>A.</t>
    </r>
  </si>
  <si>
    <r>
      <rPr>
        <sz val="12"/>
        <rFont val="Arial"/>
        <family val="2"/>
      </rPr>
      <t>Land owned under full title</t>
    </r>
  </si>
  <si>
    <r>
      <rPr>
        <sz val="12"/>
        <rFont val="Arial"/>
        <family val="2"/>
      </rPr>
      <t>B.</t>
    </r>
  </si>
  <si>
    <r>
      <rPr>
        <sz val="12"/>
        <rFont val="Arial"/>
        <family val="2"/>
      </rPr>
      <t>Land held under lease</t>
    </r>
  </si>
  <si>
    <r>
      <rPr>
        <sz val="12"/>
        <rFont val="Arial"/>
        <family val="2"/>
      </rPr>
      <t>Least    of    lease agreement/useful life/right   to   use period</t>
    </r>
  </si>
  <si>
    <r>
      <rPr>
        <sz val="12"/>
        <rFont val="Arial"/>
        <family val="2"/>
      </rPr>
      <t>C.</t>
    </r>
  </si>
  <si>
    <r>
      <rPr>
        <sz val="12"/>
        <rFont val="Arial"/>
        <family val="2"/>
      </rPr>
      <t>Assets Purchased New:</t>
    </r>
  </si>
  <si>
    <r>
      <rPr>
        <sz val="12"/>
        <rFont val="Arial"/>
        <family val="2"/>
      </rPr>
      <t>a.</t>
    </r>
  </si>
  <si>
    <r>
      <rPr>
        <sz val="12"/>
        <rFont val="Arial"/>
        <family val="2"/>
      </rPr>
      <t>Plant   and   machinery   in   Generating   Stations including plant foundations</t>
    </r>
  </si>
  <si>
    <r>
      <rPr>
        <sz val="12"/>
        <rFont val="Arial"/>
        <family val="2"/>
      </rPr>
      <t>i)</t>
    </r>
  </si>
  <si>
    <r>
      <rPr>
        <sz val="12"/>
        <rFont val="Arial"/>
        <family val="2"/>
      </rPr>
      <t>Hydro-electric</t>
    </r>
  </si>
  <si>
    <r>
      <rPr>
        <sz val="12"/>
        <rFont val="Arial"/>
        <family val="2"/>
      </rPr>
      <t>ii)</t>
    </r>
  </si>
  <si>
    <r>
      <rPr>
        <sz val="12"/>
        <rFont val="Arial"/>
        <family val="2"/>
      </rPr>
      <t>Steam electric</t>
    </r>
  </si>
  <si>
    <r>
      <rPr>
        <sz val="12"/>
        <rFont val="Arial"/>
        <family val="2"/>
      </rPr>
      <t>b.</t>
    </r>
  </si>
  <si>
    <r>
      <rPr>
        <sz val="12"/>
        <rFont val="Arial"/>
        <family val="2"/>
      </rPr>
      <t>Cooling towers and circulating water systems</t>
    </r>
  </si>
  <si>
    <r>
      <rPr>
        <sz val="12"/>
        <rFont val="Arial"/>
        <family val="2"/>
      </rPr>
      <t>c.</t>
    </r>
  </si>
  <si>
    <r>
      <rPr>
        <sz val="12"/>
        <rFont val="Arial"/>
        <family val="2"/>
      </rPr>
      <t>Hydraulic  works  forming  part  of  Hydro-electric systems including:-</t>
    </r>
  </si>
  <si>
    <r>
      <rPr>
        <sz val="12"/>
        <rFont val="Arial"/>
        <family val="2"/>
      </rPr>
      <t>Dams,  Spillways,  weirs,  canals,  reinforced concrete Flumes and siphons</t>
    </r>
  </si>
  <si>
    <r>
      <rPr>
        <sz val="12"/>
        <rFont val="Arial"/>
        <family val="2"/>
      </rPr>
      <t xml:space="preserve">Reinforced   concrete   pipelines   and   surge tanks,   steel   pipelines,   sluice   gates,   steel surge  (tanks)  hydraulic  control  valves  and
</t>
    </r>
    <r>
      <rPr>
        <sz val="12"/>
        <rFont val="Arial"/>
        <family val="2"/>
      </rPr>
      <t>other hydraulic works</t>
    </r>
  </si>
  <si>
    <r>
      <rPr>
        <sz val="12"/>
        <rFont val="Arial"/>
        <family val="2"/>
      </rPr>
      <t>d.</t>
    </r>
  </si>
  <si>
    <r>
      <rPr>
        <sz val="12"/>
        <rFont val="Arial"/>
        <family val="2"/>
      </rPr>
      <t>Building  &amp;  civil  engineering  works  of  permanent character</t>
    </r>
  </si>
  <si>
    <r>
      <rPr>
        <sz val="12"/>
        <rFont val="Arial"/>
        <family val="2"/>
      </rPr>
      <t>Offices &amp; showrooms</t>
    </r>
  </si>
  <si>
    <r>
      <rPr>
        <sz val="12"/>
        <rFont val="Arial"/>
        <family val="2"/>
      </rPr>
      <t>Containing thermo-electric generating plant</t>
    </r>
  </si>
  <si>
    <r>
      <rPr>
        <sz val="12"/>
        <rFont val="Arial"/>
        <family val="2"/>
      </rPr>
      <t>iii)</t>
    </r>
  </si>
  <si>
    <r>
      <rPr>
        <sz val="12"/>
        <rFont val="Arial"/>
        <family val="2"/>
      </rPr>
      <t>Containing hydro-electric generating plant</t>
    </r>
  </si>
  <si>
    <r>
      <rPr>
        <sz val="12"/>
        <rFont val="Arial"/>
        <family val="2"/>
      </rPr>
      <t>iv)</t>
    </r>
  </si>
  <si>
    <r>
      <rPr>
        <sz val="12"/>
        <rFont val="Arial"/>
        <family val="2"/>
      </rPr>
      <t>Temporary structures</t>
    </r>
  </si>
  <si>
    <r>
      <rPr>
        <sz val="12"/>
        <rFont val="Arial"/>
        <family val="2"/>
      </rPr>
      <t>erection</t>
    </r>
  </si>
  <si>
    <r>
      <rPr>
        <sz val="12"/>
        <rFont val="Arial"/>
        <family val="2"/>
      </rPr>
      <t>such</t>
    </r>
  </si>
  <si>
    <r>
      <rPr>
        <sz val="12"/>
        <rFont val="Arial"/>
        <family val="2"/>
      </rPr>
      <t>as</t>
    </r>
  </si>
  <si>
    <r>
      <rPr>
        <sz val="12"/>
        <rFont val="Arial"/>
        <family val="2"/>
      </rPr>
      <t>wooden</t>
    </r>
  </si>
  <si>
    <r>
      <rPr>
        <sz val="12"/>
        <rFont val="Arial"/>
        <family val="2"/>
      </rPr>
      <t>v)</t>
    </r>
  </si>
  <si>
    <r>
      <rPr>
        <sz val="12"/>
        <rFont val="Arial"/>
        <family val="2"/>
      </rPr>
      <t>Roads other than kutcha roads</t>
    </r>
  </si>
  <si>
    <r>
      <rPr>
        <sz val="12"/>
        <rFont val="Arial"/>
        <family val="2"/>
      </rPr>
      <t>vi)</t>
    </r>
  </si>
  <si>
    <r>
      <rPr>
        <sz val="12"/>
        <rFont val="Arial"/>
        <family val="2"/>
      </rPr>
      <t>Others</t>
    </r>
  </si>
  <si>
    <r>
      <rPr>
        <sz val="12"/>
        <rFont val="Arial"/>
        <family val="2"/>
      </rPr>
      <t>e.</t>
    </r>
  </si>
  <si>
    <r>
      <rPr>
        <sz val="12"/>
        <rFont val="Arial"/>
        <family val="2"/>
      </rPr>
      <t>Transformer</t>
    </r>
  </si>
  <si>
    <r>
      <rPr>
        <sz val="12"/>
        <rFont val="Arial"/>
        <family val="2"/>
      </rPr>
      <t>Power Transformer</t>
    </r>
  </si>
  <si>
    <r>
      <rPr>
        <sz val="12"/>
        <rFont val="Arial"/>
        <family val="2"/>
      </rPr>
      <t>Distribution Transformer</t>
    </r>
  </si>
  <si>
    <r>
      <rPr>
        <sz val="12"/>
        <rFont val="Arial"/>
        <family val="2"/>
      </rPr>
      <t>&lt;100 kVA</t>
    </r>
  </si>
  <si>
    <r>
      <rPr>
        <sz val="12"/>
        <rFont val="Arial"/>
        <family val="2"/>
      </rPr>
      <t>&gt;=100 kVA</t>
    </r>
  </si>
  <si>
    <r>
      <rPr>
        <sz val="12"/>
        <rFont val="Arial"/>
        <family val="2"/>
      </rPr>
      <t>f.</t>
    </r>
  </si>
  <si>
    <r>
      <rPr>
        <sz val="12"/>
        <rFont val="Arial"/>
        <family val="2"/>
      </rPr>
      <t>Switchgear</t>
    </r>
  </si>
  <si>
    <r>
      <rPr>
        <sz val="12"/>
        <rFont val="Arial"/>
        <family val="2"/>
      </rPr>
      <t>Circuit Breakers (33 kV S/s)</t>
    </r>
  </si>
  <si>
    <r>
      <rPr>
        <sz val="12"/>
        <rFont val="Arial"/>
        <family val="2"/>
      </rPr>
      <t>Circuit Breakers (LV)</t>
    </r>
  </si>
  <si>
    <r>
      <rPr>
        <sz val="12"/>
        <rFont val="Arial"/>
        <family val="2"/>
      </rPr>
      <t>Isolators</t>
    </r>
  </si>
  <si>
    <r>
      <rPr>
        <sz val="12"/>
        <rFont val="Arial"/>
        <family val="2"/>
      </rPr>
      <t>Bus couplers</t>
    </r>
  </si>
  <si>
    <r>
      <rPr>
        <sz val="12"/>
        <rFont val="Arial"/>
        <family val="2"/>
      </rPr>
      <t>g.</t>
    </r>
  </si>
  <si>
    <r>
      <rPr>
        <sz val="12"/>
        <rFont val="Arial"/>
        <family val="2"/>
      </rPr>
      <t>Lightning arrestors</t>
    </r>
  </si>
  <si>
    <r>
      <rPr>
        <sz val="12"/>
        <rFont val="Arial"/>
        <family val="2"/>
      </rPr>
      <t>h.</t>
    </r>
  </si>
  <si>
    <r>
      <rPr>
        <sz val="12"/>
        <rFont val="Arial"/>
        <family val="2"/>
      </rPr>
      <t>Batteries</t>
    </r>
  </si>
  <si>
    <r>
      <rPr>
        <sz val="12"/>
        <rFont val="Arial"/>
        <family val="2"/>
      </rPr>
      <t>i.</t>
    </r>
  </si>
  <si>
    <r>
      <rPr>
        <sz val="12"/>
        <rFont val="Arial"/>
        <family val="2"/>
      </rPr>
      <t>Overhead lines including supports:</t>
    </r>
  </si>
  <si>
    <r>
      <rPr>
        <sz val="12"/>
        <rFont val="Arial"/>
        <family val="2"/>
      </rPr>
      <t>11 kV and above</t>
    </r>
  </si>
  <si>
    <r>
      <rPr>
        <sz val="12"/>
        <rFont val="Arial"/>
        <family val="2"/>
      </rPr>
      <t>LT Lines</t>
    </r>
  </si>
  <si>
    <r>
      <rPr>
        <sz val="12"/>
        <rFont val="Arial"/>
        <family val="2"/>
      </rPr>
      <t>j.</t>
    </r>
  </si>
  <si>
    <r>
      <rPr>
        <sz val="12"/>
        <rFont val="Arial"/>
        <family val="2"/>
      </rPr>
      <t>Underground  lines  including  join  box  and disconnected boxes</t>
    </r>
  </si>
  <si>
    <r>
      <rPr>
        <sz val="12"/>
        <rFont val="Arial"/>
        <family val="2"/>
      </rPr>
      <t>k.</t>
    </r>
  </si>
  <si>
    <r>
      <rPr>
        <sz val="12"/>
        <rFont val="Arial"/>
        <family val="2"/>
      </rPr>
      <t>Meters</t>
    </r>
  </si>
  <si>
    <r>
      <rPr>
        <sz val="12"/>
        <rFont val="Arial"/>
        <family val="2"/>
      </rPr>
      <t>l.</t>
    </r>
  </si>
  <si>
    <r>
      <rPr>
        <sz val="12"/>
        <rFont val="Arial"/>
        <family val="2"/>
      </rPr>
      <t>Self-propelled vehicles</t>
    </r>
  </si>
  <si>
    <r>
      <rPr>
        <sz val="12"/>
        <rFont val="Arial"/>
        <family val="2"/>
      </rPr>
      <t>m.</t>
    </r>
  </si>
  <si>
    <r>
      <rPr>
        <sz val="12"/>
        <rFont val="Arial"/>
        <family val="2"/>
      </rPr>
      <t>Air conditioning plants:</t>
    </r>
  </si>
  <si>
    <r>
      <rPr>
        <sz val="12"/>
        <rFont val="Arial"/>
        <family val="2"/>
      </rPr>
      <t>Static</t>
    </r>
  </si>
  <si>
    <r>
      <rPr>
        <sz val="12"/>
        <rFont val="Arial"/>
        <family val="2"/>
      </rPr>
      <t>Portable</t>
    </r>
  </si>
  <si>
    <r>
      <rPr>
        <sz val="12"/>
        <rFont val="Arial"/>
        <family val="2"/>
      </rPr>
      <t>n.</t>
    </r>
  </si>
  <si>
    <r>
      <rPr>
        <sz val="12"/>
        <rFont val="Arial"/>
        <family val="2"/>
      </rPr>
      <t>Office furniture and fittings</t>
    </r>
  </si>
  <si>
    <r>
      <rPr>
        <sz val="12"/>
        <rFont val="Arial"/>
        <family val="2"/>
      </rPr>
      <t>Office equipment</t>
    </r>
  </si>
  <si>
    <r>
      <rPr>
        <sz val="12"/>
        <rFont val="Arial"/>
        <family val="2"/>
      </rPr>
      <t>Internal wiring including fittings and apparatus</t>
    </r>
  </si>
  <si>
    <r>
      <rPr>
        <sz val="12"/>
        <rFont val="Arial"/>
        <family val="2"/>
      </rPr>
      <t>Street light fittings</t>
    </r>
  </si>
  <si>
    <r>
      <rPr>
        <sz val="12"/>
        <rFont val="Arial"/>
        <family val="2"/>
      </rPr>
      <t>o.</t>
    </r>
  </si>
  <si>
    <r>
      <rPr>
        <sz val="12"/>
        <rFont val="Arial"/>
        <family val="2"/>
      </rPr>
      <t>Communication equipment:</t>
    </r>
  </si>
  <si>
    <r>
      <rPr>
        <sz val="12"/>
        <rFont val="Arial"/>
        <family val="2"/>
      </rPr>
      <t>Radio and high frequency carrier system</t>
    </r>
  </si>
  <si>
    <r>
      <rPr>
        <sz val="12"/>
        <rFont val="Arial"/>
        <family val="2"/>
      </rPr>
      <t>Telephone lines and telephones</t>
    </r>
  </si>
  <si>
    <r>
      <rPr>
        <sz val="12"/>
        <rFont val="Arial"/>
        <family val="2"/>
      </rPr>
      <t>Fibre Optic</t>
    </r>
  </si>
  <si>
    <r>
      <rPr>
        <sz val="12"/>
        <rFont val="Arial"/>
        <family val="2"/>
      </rPr>
      <t>p.</t>
    </r>
  </si>
  <si>
    <r>
      <rPr>
        <sz val="12"/>
        <rFont val="Arial"/>
        <family val="2"/>
      </rPr>
      <t>I.T. equipment</t>
    </r>
  </si>
  <si>
    <r>
      <rPr>
        <sz val="12"/>
        <rFont val="Arial"/>
        <family val="2"/>
      </rPr>
      <t>q.</t>
    </r>
  </si>
  <si>
    <r>
      <rPr>
        <sz val="12"/>
        <rFont val="Arial"/>
        <family val="2"/>
      </rPr>
      <t>Software</t>
    </r>
  </si>
  <si>
    <r>
      <rPr>
        <sz val="12"/>
        <rFont val="Arial"/>
        <family val="2"/>
      </rPr>
      <t>r.</t>
    </r>
  </si>
  <si>
    <r>
      <rPr>
        <sz val="12"/>
        <rFont val="Arial"/>
        <family val="2"/>
      </rPr>
      <t>Any other assets not covered above</t>
    </r>
  </si>
  <si>
    <t>Network Details - 33 kV</t>
  </si>
  <si>
    <t>Units</t>
  </si>
  <si>
    <t>2026-27</t>
  </si>
  <si>
    <t xml:space="preserve">GFA </t>
  </si>
  <si>
    <t>Rs Crs</t>
  </si>
  <si>
    <t>Network Details - 11 kV</t>
  </si>
  <si>
    <t>Network Details - LT</t>
  </si>
  <si>
    <t>Network Details - Total</t>
  </si>
  <si>
    <t>Distribution Expense Projections for the Control Period</t>
  </si>
  <si>
    <t>Operation &amp; Maintenance Expenses</t>
  </si>
  <si>
    <t>Interest and finance charges on Loan</t>
  </si>
  <si>
    <t>Return on Equity</t>
  </si>
  <si>
    <t>Total Gross ARR</t>
  </si>
  <si>
    <t>Income from Open Access charges</t>
  </si>
  <si>
    <t>Non-Tariff income</t>
  </si>
  <si>
    <t>Income from Other Business</t>
  </si>
  <si>
    <t>Net Distribution ARR</t>
  </si>
  <si>
    <t>Distribution Expense - 33 kV</t>
  </si>
  <si>
    <t>Distribution Expense - 11 kV</t>
  </si>
  <si>
    <t>Distribution Expense - LT</t>
  </si>
  <si>
    <t>Voltage-wise Losses</t>
  </si>
  <si>
    <t>33 kV</t>
  </si>
  <si>
    <t>11 kV</t>
  </si>
  <si>
    <t>LT</t>
  </si>
  <si>
    <t>Contracted Capacities at Consumer end</t>
  </si>
  <si>
    <t>MW</t>
  </si>
  <si>
    <t>Voltage-wise Contracted Demand Grossed up with Losses - 33 kV</t>
  </si>
  <si>
    <t>Voltage-wise Contracted Demand Grossed up with Losses - 11 kV</t>
  </si>
  <si>
    <t>Voltage-wise Contracted Demand Grossed up with Losses - LT</t>
  </si>
  <si>
    <t xml:space="preserve">Voltage-wise Contracted Demand Grossed up with Losses </t>
  </si>
  <si>
    <t>33 KV Cost Allocation (Rs. Cr.)</t>
  </si>
  <si>
    <t>11 KV Cost Allocation (Rs. Cr.)</t>
  </si>
  <si>
    <t>LT  Cost Allocation (Rs. Cr.)</t>
  </si>
  <si>
    <t>Total Cost Allocation (Rs. Cr.)</t>
  </si>
  <si>
    <t>Wheeling Tariff Calculation - Voltage Wise</t>
  </si>
  <si>
    <t>33 kV (Rs./kVA/Month)</t>
  </si>
  <si>
    <t>11 kV (Rs./kVA/Month)</t>
  </si>
  <si>
    <t>LT (Rs./kVA/Month)</t>
  </si>
  <si>
    <t>2025-26</t>
  </si>
  <si>
    <t>33 kV (Rs./kVA/h)</t>
  </si>
  <si>
    <t>11 kV (Rs./kVA/h)</t>
  </si>
  <si>
    <t>LT (Rs./kVA/h)</t>
  </si>
  <si>
    <t>Dep.</t>
  </si>
  <si>
    <t>2024-25</t>
  </si>
  <si>
    <t xml:space="preserve">Deferred Revenue Income </t>
  </si>
  <si>
    <t>(Amortized Depreciation from CC Assets)</t>
  </si>
  <si>
    <t>Incidental Charges – Work</t>
  </si>
  <si>
    <t>Sales of Scrap</t>
  </si>
  <si>
    <t>Penalties from Supplier</t>
  </si>
  <si>
    <t>SDs and BGs forfeited</t>
  </si>
  <si>
    <t>Miscellaneous Income</t>
  </si>
  <si>
    <t>Meter Testing Charges</t>
  </si>
  <si>
    <t>Interest on Staff Loans &amp; Advances</t>
  </si>
  <si>
    <t>Penalty from Employees</t>
  </si>
  <si>
    <t>Incentives and Rebates</t>
  </si>
  <si>
    <t>Rental Income</t>
  </si>
  <si>
    <t>Interest on Bank Deposits</t>
  </si>
  <si>
    <t>NTI Total</t>
  </si>
  <si>
    <t>Incidental Charges- Work</t>
  </si>
  <si>
    <t>Penalties from Suppliers</t>
  </si>
  <si>
    <t>Sale of Tender Schedule</t>
  </si>
  <si>
    <t>Rent from Fixed Assets</t>
  </si>
  <si>
    <t>Registration Fee</t>
  </si>
  <si>
    <t>Interest on Staff loans &amp; advances</t>
  </si>
  <si>
    <t>Amortisation of Depreciation on CC Assets</t>
  </si>
  <si>
    <t>Fully depreciated asset in FY 23 with consumer contribution</t>
  </si>
  <si>
    <t>Fully Depreciated consumer contribution Assets</t>
  </si>
  <si>
    <t>Fully depreciated asset in FY 23 without consumer contribution</t>
  </si>
  <si>
    <t>Regulatory Equity at the beginning of the year FY 23-24</t>
  </si>
  <si>
    <r>
      <t xml:space="preserve">D) Equity portion of fully depreciated assets                                                    </t>
    </r>
    <r>
      <rPr>
        <b/>
        <sz val="10"/>
        <rFont val="Arial"/>
        <family val="2"/>
      </rPr>
      <t>(During the year fully depreciated assets * 15%)</t>
    </r>
  </si>
  <si>
    <t>Other Expenditure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</si>
</sst>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_ &quot;₹&quot;\ * #,##0.00_ ;_ &quot;₹&quot;\ * \-#,##0.00_ ;_ &quot;₹&quot;\ * &quot;-&quot;??_ ;_ @_ "/>
    <numFmt numFmtId="165" formatCode="_ * #,##0.00_ ;_ * \-#,##0.00_ ;_ * &quot;-&quot;??_ ;_ @_ "/>
    <numFmt numFmtId="166" formatCode="0.0"/>
    <numFmt numFmtId="167" formatCode="0.0%"/>
    <numFmt numFmtId="168" formatCode="0.0000"/>
    <numFmt numFmtId="169" formatCode="_ * #,##0_ ;_ * \-#,##0_ ;_ * &quot;-&quot;??_ ;_ @_ "/>
    <numFmt numFmtId="170" formatCode="_(* #,##0_);_(* \(#,##0\);_(* &quot;-&quot;??_);_(@_)"/>
    <numFmt numFmtId="171" formatCode="_(* #,##0.0000000_);_(* \(#,##0.0000000\);_(* &quot;-&quot;??_);_(@_)"/>
    <numFmt numFmtId="172" formatCode="_ * #,##0.0000_ ;_ * \-#,##0.0000_ ;_ * &quot;-&quot;??_ ;_ @_ "/>
    <numFmt numFmtId="173" formatCode="0.00000000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9"/>
      <color theme="1"/>
      <name val="Arial"/>
      <family val="2"/>
    </font>
    <font>
      <sz val="9"/>
      <color rgb="FF353535"/>
      <name val="Arial"/>
      <family val="2"/>
    </font>
    <font>
      <b/>
      <sz val="9"/>
      <color rgb="FF353535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name val="Calibri"/>
      <family val="2"/>
      <scheme val="minor"/>
    </font>
    <font>
      <sz val="11"/>
      <name val="Arial"/>
      <family val="2"/>
    </font>
    <font>
      <b/>
      <sz val="16"/>
      <color theme="1"/>
      <name val="Maiandra GD"/>
      <family val="2"/>
    </font>
    <font>
      <b/>
      <sz val="14"/>
      <color theme="1"/>
      <name val="Maiandra GD"/>
      <family val="2"/>
    </font>
    <font>
      <b/>
      <sz val="12"/>
      <color theme="1"/>
      <name val="Maiandra GD"/>
      <family val="2"/>
    </font>
    <font>
      <sz val="12"/>
      <color theme="1"/>
      <name val="Maiandra GD"/>
      <family val="2"/>
    </font>
    <font>
      <sz val="14"/>
      <color theme="1"/>
      <name val="Maiandra GD"/>
      <family val="2"/>
    </font>
    <font>
      <b/>
      <sz val="11"/>
      <color rgb="FFFF0000"/>
      <name val="Arial"/>
      <family val="2"/>
    </font>
    <font>
      <sz val="11"/>
      <color theme="1"/>
      <name val="Aptos"/>
      <family val="2"/>
    </font>
    <font>
      <b/>
      <sz val="11"/>
      <name val="Arial"/>
      <family val="2"/>
    </font>
    <font>
      <b/>
      <sz val="12"/>
      <color theme="0" tint="-0.34998626667073579"/>
      <name val="Arial"/>
      <family val="2"/>
    </font>
    <font>
      <b/>
      <sz val="14"/>
      <name val="Times New Roman"/>
      <family val="1"/>
    </font>
    <font>
      <b/>
      <sz val="12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2"/>
      <name val="Rupee Foradian"/>
      <family val="2"/>
    </font>
    <font>
      <sz val="11"/>
      <name val="Times New Roman"/>
      <family val="1"/>
    </font>
    <font>
      <b/>
      <sz val="11"/>
      <color theme="0" tint="-0.34998626667073579"/>
      <name val="Arial"/>
      <family val="2"/>
    </font>
    <font>
      <sz val="10"/>
      <color theme="0" tint="-0.34998626667073579"/>
      <name val="Arial"/>
      <family val="2"/>
    </font>
    <font>
      <sz val="10"/>
      <color rgb="FFFF0000"/>
      <name val="Arial"/>
      <family val="2"/>
    </font>
    <font>
      <b/>
      <sz val="9"/>
      <color indexed="81"/>
      <name val="Tahoma"/>
      <family val="2"/>
    </font>
    <font>
      <sz val="10"/>
      <color rgb="FF000000"/>
      <name val="Times New Roman"/>
      <family val="1"/>
    </font>
    <font>
      <sz val="12"/>
      <color rgb="FF000000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3"/>
      <color rgb="FF000000"/>
      <name val="Arial"/>
      <family val="2"/>
    </font>
    <font>
      <sz val="13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0E0E0"/>
      </patternFill>
    </fill>
    <fill>
      <patternFill patternType="solid">
        <fgColor indexed="4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CCCCCC"/>
      </left>
      <right style="medium">
        <color rgb="FFE7E7ED"/>
      </right>
      <top style="medium">
        <color rgb="FFCCCCCC"/>
      </top>
      <bottom/>
      <diagonal/>
    </border>
    <border>
      <left style="medium">
        <color rgb="FFE7E7ED"/>
      </left>
      <right/>
      <top style="medium">
        <color rgb="FFCCCCCC"/>
      </top>
      <bottom style="medium">
        <color rgb="FFE7E7ED"/>
      </bottom>
      <diagonal/>
    </border>
    <border>
      <left/>
      <right/>
      <top style="medium">
        <color rgb="FFCCCCCC"/>
      </top>
      <bottom style="medium">
        <color rgb="FFE7E7ED"/>
      </bottom>
      <diagonal/>
    </border>
    <border>
      <left/>
      <right style="medium">
        <color rgb="FFCCCCCC"/>
      </right>
      <top style="medium">
        <color rgb="FFCCCCCC"/>
      </top>
      <bottom style="medium">
        <color rgb="FFE7E7ED"/>
      </bottom>
      <diagonal/>
    </border>
    <border>
      <left style="medium">
        <color rgb="FFCCCCCC"/>
      </left>
      <right style="medium">
        <color rgb="FFE7E7ED"/>
      </right>
      <top/>
      <bottom style="medium">
        <color rgb="FFCCCCCC"/>
      </bottom>
      <diagonal/>
    </border>
    <border>
      <left style="medium">
        <color rgb="FFE7E7ED"/>
      </left>
      <right style="medium">
        <color rgb="FFE7E7ED"/>
      </right>
      <top style="medium">
        <color rgb="FFE7E7ED"/>
      </top>
      <bottom style="medium">
        <color rgb="FFE7E7ED"/>
      </bottom>
      <diagonal/>
    </border>
    <border>
      <left style="medium">
        <color rgb="FFE7E7ED"/>
      </left>
      <right style="medium">
        <color rgb="FFCCCCCC"/>
      </right>
      <top style="medium">
        <color rgb="FFE7E7ED"/>
      </top>
      <bottom style="medium">
        <color rgb="FFE7E7ED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15" fillId="0" borderId="0" applyNumberForma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43" fontId="1" fillId="0" borderId="0" applyFont="0" applyFill="0" applyBorder="0" applyAlignment="0" applyProtection="0"/>
    <xf numFmtId="0" fontId="38" fillId="0" borderId="0"/>
    <xf numFmtId="9" fontId="38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47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2" xfId="0" applyFont="1" applyBorder="1" applyAlignment="1">
      <alignment horizontal="left"/>
    </xf>
    <xf numFmtId="1" fontId="6" fillId="0" borderId="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1" fontId="6" fillId="0" borderId="3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wrapText="1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3" fillId="0" borderId="2" xfId="0" applyFont="1" applyBorder="1"/>
    <xf numFmtId="9" fontId="3" fillId="0" borderId="2" xfId="1" applyFont="1" applyBorder="1" applyAlignment="1">
      <alignment horizontal="center"/>
    </xf>
    <xf numFmtId="9" fontId="3" fillId="0" borderId="2" xfId="1" applyFont="1" applyBorder="1" applyAlignment="1">
      <alignment horizontal="center" vertical="center"/>
    </xf>
    <xf numFmtId="0" fontId="4" fillId="0" borderId="2" xfId="2" applyFont="1" applyBorder="1" applyAlignment="1">
      <alignment vertical="center"/>
    </xf>
    <xf numFmtId="0" fontId="2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0" fillId="0" borderId="2" xfId="0" applyBorder="1"/>
    <xf numFmtId="2" fontId="0" fillId="0" borderId="2" xfId="0" applyNumberFormat="1" applyBorder="1" applyAlignment="1">
      <alignment horizontal="center"/>
    </xf>
    <xf numFmtId="2" fontId="0" fillId="0" borderId="0" xfId="0" applyNumberFormat="1"/>
    <xf numFmtId="0" fontId="4" fillId="0" borderId="2" xfId="0" applyFont="1" applyBorder="1"/>
    <xf numFmtId="0" fontId="8" fillId="0" borderId="2" xfId="0" applyFont="1" applyBorder="1"/>
    <xf numFmtId="0" fontId="3" fillId="0" borderId="2" xfId="0" applyFont="1" applyBorder="1" applyAlignment="1">
      <alignment horizontal="left" indent="1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vertical="center"/>
    </xf>
    <xf numFmtId="2" fontId="2" fillId="0" borderId="2" xfId="0" applyNumberFormat="1" applyFont="1" applyBorder="1" applyAlignment="1">
      <alignment horizontal="center"/>
    </xf>
    <xf numFmtId="10" fontId="4" fillId="0" borderId="2" xfId="1" applyNumberFormat="1" applyFont="1" applyBorder="1" applyAlignment="1">
      <alignment horizontal="center"/>
    </xf>
    <xf numFmtId="10" fontId="2" fillId="0" borderId="0" xfId="1" applyNumberFormat="1" applyFont="1" applyAlignment="1">
      <alignment horizontal="center"/>
    </xf>
    <xf numFmtId="0" fontId="6" fillId="0" borderId="0" xfId="0" applyFont="1"/>
    <xf numFmtId="0" fontId="6" fillId="3" borderId="2" xfId="0" applyFont="1" applyFill="1" applyBorder="1"/>
    <xf numFmtId="0" fontId="2" fillId="3" borderId="2" xfId="0" applyFont="1" applyFill="1" applyBorder="1" applyAlignment="1">
      <alignment horizontal="center"/>
    </xf>
    <xf numFmtId="164" fontId="0" fillId="0" borderId="0" xfId="0" applyNumberFormat="1"/>
    <xf numFmtId="0" fontId="0" fillId="3" borderId="2" xfId="0" applyFill="1" applyBorder="1"/>
    <xf numFmtId="2" fontId="0" fillId="3" borderId="2" xfId="0" applyNumberFormat="1" applyFill="1" applyBorder="1" applyAlignment="1">
      <alignment horizontal="center"/>
    </xf>
    <xf numFmtId="10" fontId="0" fillId="3" borderId="2" xfId="1" applyNumberFormat="1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1" fillId="4" borderId="14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 wrapText="1"/>
    </xf>
    <xf numFmtId="2" fontId="11" fillId="4" borderId="2" xfId="0" applyNumberFormat="1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left" vertical="center" wrapText="1"/>
    </xf>
    <xf numFmtId="10" fontId="2" fillId="0" borderId="2" xfId="1" applyNumberFormat="1" applyFont="1" applyBorder="1" applyAlignment="1">
      <alignment horizontal="center"/>
    </xf>
    <xf numFmtId="10" fontId="11" fillId="4" borderId="2" xfId="1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10" fontId="9" fillId="2" borderId="2" xfId="1" applyNumberFormat="1" applyFont="1" applyFill="1" applyBorder="1" applyAlignment="1">
      <alignment horizontal="center"/>
    </xf>
    <xf numFmtId="10" fontId="13" fillId="2" borderId="2" xfId="1" applyNumberFormat="1" applyFont="1" applyFill="1" applyBorder="1" applyAlignment="1">
      <alignment horizontal="center" vertical="center" wrapText="1"/>
    </xf>
    <xf numFmtId="10" fontId="2" fillId="0" borderId="0" xfId="0" applyNumberFormat="1" applyFont="1"/>
    <xf numFmtId="9" fontId="0" fillId="0" borderId="0" xfId="0" applyNumberFormat="1"/>
    <xf numFmtId="0" fontId="2" fillId="0" borderId="2" xfId="0" applyFon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9" fontId="0" fillId="0" borderId="2" xfId="1" applyFont="1" applyBorder="1"/>
    <xf numFmtId="9" fontId="0" fillId="0" borderId="2" xfId="1" applyFont="1" applyBorder="1" applyAlignment="1">
      <alignment horizontal="center" vertical="center"/>
    </xf>
    <xf numFmtId="167" fontId="0" fillId="0" borderId="2" xfId="1" applyNumberFormat="1" applyFont="1" applyBorder="1" applyAlignment="1">
      <alignment horizontal="center" vertical="center"/>
    </xf>
    <xf numFmtId="10" fontId="0" fillId="0" borderId="2" xfId="1" applyNumberFormat="1" applyFont="1" applyBorder="1"/>
    <xf numFmtId="10" fontId="0" fillId="0" borderId="0" xfId="0" applyNumberFormat="1"/>
    <xf numFmtId="0" fontId="0" fillId="0" borderId="0" xfId="0" applyAlignment="1">
      <alignment horizontal="center" vertical="center"/>
    </xf>
    <xf numFmtId="9" fontId="0" fillId="0" borderId="0" xfId="1" applyFont="1" applyAlignment="1">
      <alignment horizontal="center" vertical="center"/>
    </xf>
    <xf numFmtId="1" fontId="0" fillId="0" borderId="2" xfId="0" applyNumberFormat="1" applyBorder="1"/>
    <xf numFmtId="4" fontId="0" fillId="0" borderId="0" xfId="0" applyNumberFormat="1" applyAlignment="1">
      <alignment horizontal="center" vertical="center"/>
    </xf>
    <xf numFmtId="9" fontId="0" fillId="0" borderId="0" xfId="1" applyFont="1" applyAlignment="1">
      <alignment horizontal="center"/>
    </xf>
    <xf numFmtId="2" fontId="0" fillId="0" borderId="0" xfId="0" applyNumberFormat="1" applyAlignment="1">
      <alignment horizontal="center" vertical="center"/>
    </xf>
    <xf numFmtId="0" fontId="2" fillId="5" borderId="15" xfId="0" applyFont="1" applyFill="1" applyBorder="1"/>
    <xf numFmtId="0" fontId="15" fillId="6" borderId="16" xfId="3" applyFill="1" applyBorder="1"/>
    <xf numFmtId="0" fontId="0" fillId="6" borderId="16" xfId="0" applyFill="1" applyBorder="1"/>
    <xf numFmtId="0" fontId="0" fillId="6" borderId="16" xfId="4" applyFont="1" applyFill="1" applyBorder="1"/>
    <xf numFmtId="0" fontId="2" fillId="5" borderId="17" xfId="0" applyFont="1" applyFill="1" applyBorder="1"/>
    <xf numFmtId="49" fontId="15" fillId="6" borderId="0" xfId="3" applyNumberFormat="1" applyFill="1"/>
    <xf numFmtId="0" fontId="0" fillId="6" borderId="0" xfId="0" applyFill="1"/>
    <xf numFmtId="0" fontId="0" fillId="6" borderId="0" xfId="4" applyFont="1" applyFill="1"/>
    <xf numFmtId="0" fontId="2" fillId="5" borderId="6" xfId="0" applyFont="1" applyFill="1" applyBorder="1"/>
    <xf numFmtId="0" fontId="0" fillId="6" borderId="3" xfId="0" applyFill="1" applyBorder="1"/>
    <xf numFmtId="0" fontId="15" fillId="6" borderId="3" xfId="5" applyFont="1" applyFill="1" applyBorder="1"/>
    <xf numFmtId="2" fontId="0" fillId="0" borderId="2" xfId="0" applyNumberFormat="1" applyBorder="1"/>
    <xf numFmtId="168" fontId="0" fillId="0" borderId="2" xfId="0" applyNumberFormat="1" applyBorder="1"/>
    <xf numFmtId="2" fontId="2" fillId="0" borderId="2" xfId="0" applyNumberFormat="1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9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0" fontId="4" fillId="0" borderId="0" xfId="0" applyFont="1" applyAlignment="1">
      <alignment horizontal="left"/>
    </xf>
    <xf numFmtId="10" fontId="3" fillId="0" borderId="2" xfId="1" applyNumberFormat="1" applyFont="1" applyBorder="1" applyAlignment="1">
      <alignment horizont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169" fontId="21" fillId="0" borderId="0" xfId="6" applyNumberFormat="1" applyFont="1" applyAlignment="1">
      <alignment horizontal="center" vertical="center"/>
    </xf>
    <xf numFmtId="11" fontId="20" fillId="0" borderId="0" xfId="0" applyNumberFormat="1" applyFont="1" applyAlignment="1">
      <alignment horizontal="center" vertical="center"/>
    </xf>
    <xf numFmtId="10" fontId="20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2" xfId="0" applyFont="1" applyBorder="1" applyAlignment="1">
      <alignment vertical="center"/>
    </xf>
    <xf numFmtId="165" fontId="21" fillId="0" borderId="2" xfId="0" applyNumberFormat="1" applyFont="1" applyBorder="1" applyAlignment="1">
      <alignment horizontal="center" vertical="center" wrapText="1"/>
    </xf>
    <xf numFmtId="10" fontId="21" fillId="0" borderId="2" xfId="0" applyNumberFormat="1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left" vertical="center"/>
    </xf>
    <xf numFmtId="165" fontId="22" fillId="0" borderId="2" xfId="6" applyFont="1" applyBorder="1" applyAlignment="1">
      <alignment horizontal="left" vertical="center"/>
    </xf>
    <xf numFmtId="165" fontId="22" fillId="0" borderId="2" xfId="6" applyFont="1" applyBorder="1" applyAlignment="1">
      <alignment horizontal="center" vertical="center" wrapText="1"/>
    </xf>
    <xf numFmtId="165" fontId="21" fillId="0" borderId="2" xfId="6" applyFont="1" applyFill="1" applyBorder="1" applyAlignment="1">
      <alignment horizontal="center" vertical="center" wrapText="1"/>
    </xf>
    <xf numFmtId="10" fontId="22" fillId="0" borderId="2" xfId="0" applyNumberFormat="1" applyFont="1" applyBorder="1"/>
    <xf numFmtId="0" fontId="21" fillId="0" borderId="0" xfId="0" applyFont="1"/>
    <xf numFmtId="0" fontId="20" fillId="0" borderId="0" xfId="0" applyFont="1"/>
    <xf numFmtId="0" fontId="22" fillId="0" borderId="2" xfId="0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2" xfId="0" applyFont="1" applyBorder="1" applyAlignment="1">
      <alignment horizontal="left" vertical="center" wrapText="1"/>
    </xf>
    <xf numFmtId="165" fontId="22" fillId="0" borderId="2" xfId="6" applyFont="1" applyBorder="1" applyAlignment="1">
      <alignment horizontal="left" vertical="center" wrapText="1"/>
    </xf>
    <xf numFmtId="165" fontId="22" fillId="0" borderId="2" xfId="6" applyFont="1" applyFill="1" applyBorder="1" applyAlignment="1">
      <alignment horizontal="left" vertical="center"/>
    </xf>
    <xf numFmtId="165" fontId="22" fillId="0" borderId="2" xfId="6" applyFont="1" applyFill="1" applyBorder="1"/>
    <xf numFmtId="0" fontId="21" fillId="0" borderId="4" xfId="0" applyFont="1" applyBorder="1" applyAlignment="1">
      <alignment vertical="center" wrapText="1"/>
    </xf>
    <xf numFmtId="10" fontId="21" fillId="0" borderId="2" xfId="0" applyNumberFormat="1" applyFont="1" applyBorder="1"/>
    <xf numFmtId="165" fontId="21" fillId="0" borderId="2" xfId="6" applyFont="1" applyBorder="1" applyAlignment="1">
      <alignment horizontal="center" vertical="center" wrapText="1"/>
    </xf>
    <xf numFmtId="165" fontId="22" fillId="0" borderId="2" xfId="6" applyFont="1" applyBorder="1"/>
    <xf numFmtId="0" fontId="21" fillId="0" borderId="2" xfId="0" applyFont="1" applyBorder="1" applyAlignment="1">
      <alignment horizontal="left" vertical="center"/>
    </xf>
    <xf numFmtId="165" fontId="21" fillId="0" borderId="2" xfId="6" applyFont="1" applyBorder="1" applyAlignment="1">
      <alignment horizontal="left" vertical="center"/>
    </xf>
    <xf numFmtId="0" fontId="22" fillId="0" borderId="4" xfId="0" applyFont="1" applyBorder="1" applyAlignment="1">
      <alignment vertical="center"/>
    </xf>
    <xf numFmtId="165" fontId="22" fillId="0" borderId="4" xfId="6" applyFont="1" applyBorder="1" applyAlignment="1">
      <alignment vertical="center"/>
    </xf>
    <xf numFmtId="0" fontId="22" fillId="0" borderId="4" xfId="0" applyFont="1" applyBorder="1" applyAlignment="1">
      <alignment vertical="center" wrapText="1"/>
    </xf>
    <xf numFmtId="165" fontId="22" fillId="0" borderId="4" xfId="6" applyFont="1" applyFill="1" applyBorder="1" applyAlignment="1">
      <alignment vertical="center" wrapText="1"/>
    </xf>
    <xf numFmtId="165" fontId="22" fillId="0" borderId="2" xfId="6" applyFont="1" applyFill="1" applyBorder="1" applyAlignment="1">
      <alignment horizontal="center" vertical="center" wrapText="1"/>
    </xf>
    <xf numFmtId="0" fontId="21" fillId="0" borderId="2" xfId="0" applyFont="1" applyBorder="1"/>
    <xf numFmtId="0" fontId="21" fillId="0" borderId="4" xfId="0" applyFont="1" applyBorder="1" applyAlignment="1">
      <alignment vertical="center"/>
    </xf>
    <xf numFmtId="165" fontId="21" fillId="0" borderId="4" xfId="0" applyNumberFormat="1" applyFont="1" applyBorder="1" applyAlignment="1">
      <alignment vertical="center"/>
    </xf>
    <xf numFmtId="165" fontId="21" fillId="0" borderId="2" xfId="6" applyFont="1" applyBorder="1"/>
    <xf numFmtId="165" fontId="23" fillId="0" borderId="0" xfId="0" applyNumberFormat="1" applyFont="1"/>
    <xf numFmtId="169" fontId="23" fillId="0" borderId="0" xfId="6" applyNumberFormat="1" applyFont="1"/>
    <xf numFmtId="10" fontId="23" fillId="0" borderId="0" xfId="0" applyNumberFormat="1" applyFont="1"/>
    <xf numFmtId="0" fontId="4" fillId="0" borderId="2" xfId="0" applyFont="1" applyBorder="1" applyAlignment="1">
      <alignment horizontal="center"/>
    </xf>
    <xf numFmtId="0" fontId="18" fillId="0" borderId="2" xfId="0" applyFont="1" applyBorder="1"/>
    <xf numFmtId="0" fontId="3" fillId="0" borderId="2" xfId="0" applyFont="1" applyBorder="1" applyAlignment="1">
      <alignment wrapText="1"/>
    </xf>
    <xf numFmtId="3" fontId="3" fillId="0" borderId="2" xfId="0" applyNumberFormat="1" applyFont="1" applyBorder="1" applyAlignment="1">
      <alignment horizontal="center"/>
    </xf>
    <xf numFmtId="3" fontId="0" fillId="0" borderId="2" xfId="0" applyNumberFormat="1" applyBorder="1"/>
    <xf numFmtId="3" fontId="3" fillId="2" borderId="2" xfId="0" applyNumberFormat="1" applyFont="1" applyFill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 vertical="center"/>
    </xf>
    <xf numFmtId="3" fontId="26" fillId="0" borderId="2" xfId="0" applyNumberFormat="1" applyFont="1" applyBorder="1" applyAlignment="1">
      <alignment horizontal="center"/>
    </xf>
    <xf numFmtId="3" fontId="24" fillId="0" borderId="2" xfId="0" applyNumberFormat="1" applyFont="1" applyBorder="1" applyAlignment="1">
      <alignment horizont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/>
    </xf>
    <xf numFmtId="1" fontId="29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0" fillId="0" borderId="2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170" fontId="0" fillId="0" borderId="0" xfId="0" applyNumberFormat="1"/>
    <xf numFmtId="0" fontId="26" fillId="0" borderId="2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1" fillId="0" borderId="2" xfId="0" applyFont="1" applyBorder="1" applyAlignment="1">
      <alignment horizontal="left" vertical="center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6" fillId="0" borderId="2" xfId="0" applyFont="1" applyBorder="1" applyAlignment="1">
      <alignment horizontal="center"/>
    </xf>
    <xf numFmtId="0" fontId="33" fillId="0" borderId="2" xfId="0" applyFont="1" applyBorder="1" applyAlignment="1">
      <alignment wrapText="1"/>
    </xf>
    <xf numFmtId="43" fontId="33" fillId="0" borderId="2" xfId="8" applyFont="1" applyFill="1" applyBorder="1" applyAlignment="1">
      <alignment horizontal="right"/>
    </xf>
    <xf numFmtId="43" fontId="33" fillId="0" borderId="2" xfId="8" applyFont="1" applyFill="1" applyBorder="1" applyAlignment="1">
      <alignment horizontal="right" wrapText="1"/>
    </xf>
    <xf numFmtId="170" fontId="33" fillId="0" borderId="21" xfId="8" applyNumberFormat="1" applyFont="1" applyFill="1" applyBorder="1" applyAlignment="1">
      <alignment horizontal="right"/>
    </xf>
    <xf numFmtId="1" fontId="29" fillId="0" borderId="21" xfId="8" applyNumberFormat="1" applyFont="1" applyFill="1" applyBorder="1" applyAlignment="1">
      <alignment horizontal="center"/>
    </xf>
    <xf numFmtId="43" fontId="0" fillId="0" borderId="2" xfId="0" applyNumberFormat="1" applyBorder="1"/>
    <xf numFmtId="1" fontId="29" fillId="0" borderId="17" xfId="8" applyNumberFormat="1" applyFont="1" applyFill="1" applyBorder="1" applyAlignment="1">
      <alignment horizontal="center"/>
    </xf>
    <xf numFmtId="1" fontId="29" fillId="0" borderId="0" xfId="8" applyNumberFormat="1" applyFont="1" applyFill="1" applyBorder="1" applyAlignment="1">
      <alignment horizontal="center"/>
    </xf>
    <xf numFmtId="0" fontId="31" fillId="0" borderId="2" xfId="0" applyFont="1" applyBorder="1" applyAlignment="1">
      <alignment horizontal="center" wrapText="1"/>
    </xf>
    <xf numFmtId="43" fontId="31" fillId="0" borderId="2" xfId="8" applyFont="1" applyFill="1" applyBorder="1" applyAlignment="1">
      <alignment horizontal="right"/>
    </xf>
    <xf numFmtId="170" fontId="31" fillId="0" borderId="0" xfId="8" applyNumberFormat="1" applyFont="1" applyFill="1" applyBorder="1" applyAlignment="1">
      <alignment horizontal="right"/>
    </xf>
    <xf numFmtId="1" fontId="29" fillId="0" borderId="0" xfId="0" applyNumberFormat="1" applyFont="1" applyAlignment="1">
      <alignment horizontal="center"/>
    </xf>
    <xf numFmtId="0" fontId="31" fillId="0" borderId="2" xfId="0" applyFont="1" applyBorder="1" applyAlignment="1">
      <alignment horizontal="left" wrapText="1"/>
    </xf>
    <xf numFmtId="0" fontId="33" fillId="0" borderId="2" xfId="0" applyFont="1" applyBorder="1" applyAlignment="1">
      <alignment horizontal="left" wrapText="1"/>
    </xf>
    <xf numFmtId="43" fontId="33" fillId="0" borderId="0" xfId="8" applyFont="1" applyFill="1" applyBorder="1" applyAlignment="1">
      <alignment horizontal="right"/>
    </xf>
    <xf numFmtId="0" fontId="34" fillId="0" borderId="0" xfId="0" applyFont="1" applyAlignment="1">
      <alignment horizontal="center"/>
    </xf>
    <xf numFmtId="0" fontId="31" fillId="0" borderId="2" xfId="0" applyFont="1" applyBorder="1" applyAlignment="1">
      <alignment wrapText="1"/>
    </xf>
    <xf numFmtId="43" fontId="31" fillId="0" borderId="2" xfId="8" applyFont="1" applyBorder="1" applyAlignment="1"/>
    <xf numFmtId="43" fontId="31" fillId="0" borderId="2" xfId="8" applyFont="1" applyFill="1" applyBorder="1" applyAlignment="1"/>
    <xf numFmtId="170" fontId="31" fillId="0" borderId="0" xfId="8" applyNumberFormat="1" applyFont="1" applyBorder="1" applyAlignment="1"/>
    <xf numFmtId="1" fontId="26" fillId="0" borderId="0" xfId="0" applyNumberFormat="1" applyFont="1" applyAlignment="1">
      <alignment horizontal="center"/>
    </xf>
    <xf numFmtId="0" fontId="26" fillId="0" borderId="0" xfId="0" applyFont="1"/>
    <xf numFmtId="0" fontId="34" fillId="0" borderId="0" xfId="0" applyFont="1" applyAlignment="1">
      <alignment horizontal="center" vertical="center"/>
    </xf>
    <xf numFmtId="43" fontId="26" fillId="0" borderId="0" xfId="0" applyNumberFormat="1" applyFont="1"/>
    <xf numFmtId="1" fontId="26" fillId="0" borderId="0" xfId="0" applyNumberFormat="1" applyFont="1" applyAlignment="1">
      <alignment horizontal="center" vertical="center"/>
    </xf>
    <xf numFmtId="0" fontId="35" fillId="0" borderId="0" xfId="0" applyFont="1"/>
    <xf numFmtId="0" fontId="29" fillId="0" borderId="0" xfId="0" applyFont="1" applyAlignment="1">
      <alignment horizontal="center" vertical="center"/>
    </xf>
    <xf numFmtId="2" fontId="2" fillId="0" borderId="2" xfId="0" applyNumberFormat="1" applyFont="1" applyBorder="1" applyAlignment="1">
      <alignment horizontal="right"/>
    </xf>
    <xf numFmtId="0" fontId="36" fillId="0" borderId="0" xfId="0" applyFont="1"/>
    <xf numFmtId="170" fontId="36" fillId="0" borderId="0" xfId="0" applyNumberFormat="1" applyFont="1"/>
    <xf numFmtId="43" fontId="36" fillId="0" borderId="0" xfId="0" applyNumberFormat="1" applyFont="1"/>
    <xf numFmtId="43" fontId="29" fillId="0" borderId="0" xfId="0" applyNumberFormat="1" applyFont="1"/>
    <xf numFmtId="170" fontId="7" fillId="0" borderId="0" xfId="8" applyNumberFormat="1" applyFont="1" applyFill="1"/>
    <xf numFmtId="0" fontId="7" fillId="0" borderId="0" xfId="0" applyFont="1"/>
    <xf numFmtId="4" fontId="0" fillId="0" borderId="0" xfId="0" applyNumberFormat="1"/>
    <xf numFmtId="1" fontId="36" fillId="0" borderId="0" xfId="0" applyNumberFormat="1" applyFont="1"/>
    <xf numFmtId="165" fontId="0" fillId="0" borderId="0" xfId="0" applyNumberFormat="1"/>
    <xf numFmtId="2" fontId="36" fillId="0" borderId="0" xfId="0" applyNumberFormat="1" applyFont="1"/>
    <xf numFmtId="3" fontId="0" fillId="0" borderId="0" xfId="0" applyNumberFormat="1" applyAlignment="1">
      <alignment horizontal="right" vertical="center"/>
    </xf>
    <xf numFmtId="3" fontId="0" fillId="0" borderId="0" xfId="0" applyNumberFormat="1"/>
    <xf numFmtId="0" fontId="2" fillId="0" borderId="2" xfId="0" applyFont="1" applyBorder="1" applyAlignment="1">
      <alignment wrapText="1"/>
    </xf>
    <xf numFmtId="0" fontId="36" fillId="2" borderId="0" xfId="0" applyFont="1" applyFill="1"/>
    <xf numFmtId="4" fontId="36" fillId="2" borderId="0" xfId="0" applyNumberFormat="1" applyFont="1" applyFill="1"/>
    <xf numFmtId="0" fontId="2" fillId="0" borderId="21" xfId="0" applyFont="1" applyBorder="1"/>
    <xf numFmtId="0" fontId="39" fillId="0" borderId="0" xfId="9" applyFont="1" applyAlignment="1">
      <alignment horizontal="center" vertical="center"/>
    </xf>
    <xf numFmtId="0" fontId="38" fillId="0" borderId="0" xfId="9" applyAlignment="1">
      <alignment horizontal="left" vertical="top"/>
    </xf>
    <xf numFmtId="0" fontId="29" fillId="0" borderId="0" xfId="9" applyFont="1" applyAlignment="1">
      <alignment horizontal="center" vertical="center" wrapText="1"/>
    </xf>
    <xf numFmtId="9" fontId="29" fillId="7" borderId="2" xfId="10" applyFont="1" applyFill="1" applyBorder="1" applyAlignment="1">
      <alignment horizontal="center" vertical="center" wrapText="1"/>
    </xf>
    <xf numFmtId="0" fontId="29" fillId="7" borderId="2" xfId="9" applyFont="1" applyFill="1" applyBorder="1" applyAlignment="1">
      <alignment horizontal="center" vertical="center" wrapText="1"/>
    </xf>
    <xf numFmtId="1" fontId="39" fillId="0" borderId="2" xfId="9" applyNumberFormat="1" applyFont="1" applyBorder="1" applyAlignment="1">
      <alignment horizontal="center" vertical="center" shrinkToFit="1"/>
    </xf>
    <xf numFmtId="10" fontId="39" fillId="0" borderId="2" xfId="10" applyNumberFormat="1" applyFont="1" applyFill="1" applyBorder="1" applyAlignment="1">
      <alignment horizontal="center" vertical="center"/>
    </xf>
    <xf numFmtId="9" fontId="39" fillId="0" borderId="2" xfId="10" applyFont="1" applyFill="1" applyBorder="1" applyAlignment="1">
      <alignment horizontal="center" vertical="center"/>
    </xf>
    <xf numFmtId="0" fontId="40" fillId="0" borderId="2" xfId="9" applyFont="1" applyBorder="1" applyAlignment="1">
      <alignment horizontal="center" vertical="center" wrapText="1"/>
    </xf>
    <xf numFmtId="10" fontId="39" fillId="0" borderId="2" xfId="9" applyNumberFormat="1" applyFont="1" applyBorder="1" applyAlignment="1">
      <alignment horizontal="center" vertical="center"/>
    </xf>
    <xf numFmtId="0" fontId="38" fillId="0" borderId="2" xfId="9" applyBorder="1" applyAlignment="1">
      <alignment horizontal="center" vertical="center" wrapText="1"/>
    </xf>
    <xf numFmtId="0" fontId="39" fillId="0" borderId="2" xfId="9" applyFont="1" applyBorder="1" applyAlignment="1">
      <alignment horizontal="center" vertical="center"/>
    </xf>
    <xf numFmtId="0" fontId="40" fillId="0" borderId="2" xfId="9" applyFont="1" applyBorder="1" applyAlignment="1">
      <alignment horizontal="left" vertical="top" wrapText="1"/>
    </xf>
    <xf numFmtId="0" fontId="40" fillId="0" borderId="2" xfId="9" applyFont="1" applyBorder="1" applyAlignment="1">
      <alignment horizontal="left" vertical="top" wrapText="1" indent="1"/>
    </xf>
    <xf numFmtId="9" fontId="39" fillId="0" borderId="2" xfId="9" applyNumberFormat="1" applyFont="1" applyBorder="1" applyAlignment="1">
      <alignment horizontal="center" vertical="center"/>
    </xf>
    <xf numFmtId="0" fontId="40" fillId="0" borderId="2" xfId="9" applyFont="1" applyBorder="1" applyAlignment="1">
      <alignment horizontal="right" vertical="top" wrapText="1"/>
    </xf>
    <xf numFmtId="0" fontId="38" fillId="0" borderId="2" xfId="9" applyBorder="1" applyAlignment="1">
      <alignment horizontal="left" wrapText="1"/>
    </xf>
    <xf numFmtId="0" fontId="38" fillId="0" borderId="0" xfId="9" applyAlignment="1">
      <alignment horizontal="center" vertical="center"/>
    </xf>
    <xf numFmtId="43" fontId="0" fillId="0" borderId="0" xfId="0" applyNumberFormat="1"/>
    <xf numFmtId="10" fontId="0" fillId="0" borderId="0" xfId="1" applyNumberFormat="1" applyFont="1"/>
    <xf numFmtId="10" fontId="38" fillId="0" borderId="0" xfId="1" applyNumberFormat="1" applyFont="1" applyAlignment="1">
      <alignment horizontal="left" vertical="top"/>
    </xf>
    <xf numFmtId="2" fontId="0" fillId="0" borderId="0" xfId="1" applyNumberFormat="1" applyFont="1"/>
    <xf numFmtId="165" fontId="6" fillId="0" borderId="0" xfId="0" applyNumberFormat="1" applyFont="1"/>
    <xf numFmtId="2" fontId="2" fillId="2" borderId="2" xfId="0" applyNumberFormat="1" applyFont="1" applyFill="1" applyBorder="1"/>
    <xf numFmtId="168" fontId="0" fillId="0" borderId="0" xfId="0" applyNumberFormat="1"/>
    <xf numFmtId="2" fontId="2" fillId="0" borderId="0" xfId="0" applyNumberFormat="1" applyFont="1"/>
    <xf numFmtId="10" fontId="0" fillId="0" borderId="0" xfId="1" applyNumberFormat="1" applyFont="1" applyBorder="1"/>
    <xf numFmtId="1" fontId="0" fillId="0" borderId="2" xfId="0" applyNumberForma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0" fillId="3" borderId="2" xfId="0" applyNumberFormat="1" applyFill="1" applyBorder="1" applyAlignment="1">
      <alignment horizontal="center"/>
    </xf>
    <xf numFmtId="1" fontId="0" fillId="3" borderId="2" xfId="0" applyNumberFormat="1" applyFill="1" applyBorder="1"/>
    <xf numFmtId="3" fontId="3" fillId="2" borderId="2" xfId="0" applyNumberFormat="1" applyFont="1" applyFill="1" applyBorder="1" applyAlignment="1">
      <alignment horizontal="center" vertical="center"/>
    </xf>
    <xf numFmtId="0" fontId="7" fillId="0" borderId="0" xfId="7" applyAlignment="1">
      <alignment horizontal="center"/>
    </xf>
    <xf numFmtId="0" fontId="7" fillId="0" borderId="0" xfId="7"/>
    <xf numFmtId="0" fontId="7" fillId="0" borderId="24" xfId="7" applyBorder="1" applyAlignment="1">
      <alignment horizontal="center"/>
    </xf>
    <xf numFmtId="0" fontId="7" fillId="0" borderId="2" xfId="7" applyBorder="1"/>
    <xf numFmtId="0" fontId="6" fillId="0" borderId="2" xfId="7" applyFont="1" applyBorder="1" applyAlignment="1">
      <alignment horizontal="center"/>
    </xf>
    <xf numFmtId="0" fontId="6" fillId="0" borderId="23" xfId="7" applyFont="1" applyBorder="1" applyAlignment="1">
      <alignment horizontal="center"/>
    </xf>
    <xf numFmtId="0" fontId="7" fillId="0" borderId="25" xfId="7" applyBorder="1" applyAlignment="1">
      <alignment horizontal="center"/>
    </xf>
    <xf numFmtId="0" fontId="7" fillId="0" borderId="26" xfId="7" applyBorder="1"/>
    <xf numFmtId="0" fontId="7" fillId="0" borderId="26" xfId="7" applyBorder="1" applyAlignment="1">
      <alignment horizontal="center"/>
    </xf>
    <xf numFmtId="1" fontId="7" fillId="0" borderId="2" xfId="7" applyNumberFormat="1" applyBorder="1" applyAlignment="1">
      <alignment horizontal="center"/>
    </xf>
    <xf numFmtId="0" fontId="6" fillId="0" borderId="24" xfId="7" applyFont="1" applyBorder="1" applyAlignment="1">
      <alignment horizontal="center"/>
    </xf>
    <xf numFmtId="0" fontId="6" fillId="0" borderId="2" xfId="7" applyFont="1" applyBorder="1"/>
    <xf numFmtId="0" fontId="7" fillId="0" borderId="0" xfId="7" applyAlignment="1">
      <alignment wrapText="1"/>
    </xf>
    <xf numFmtId="0" fontId="7" fillId="0" borderId="24" xfId="7" applyBorder="1" applyAlignment="1">
      <alignment horizontal="center" wrapText="1"/>
    </xf>
    <xf numFmtId="0" fontId="7" fillId="0" borderId="2" xfId="7" applyBorder="1" applyAlignment="1">
      <alignment wrapText="1"/>
    </xf>
    <xf numFmtId="170" fontId="7" fillId="0" borderId="2" xfId="11" applyNumberFormat="1" applyFont="1" applyFill="1" applyBorder="1" applyAlignment="1">
      <alignment wrapText="1"/>
    </xf>
    <xf numFmtId="170" fontId="0" fillId="0" borderId="2" xfId="11" applyNumberFormat="1" applyFont="1" applyFill="1" applyBorder="1" applyAlignment="1">
      <alignment wrapText="1"/>
    </xf>
    <xf numFmtId="0" fontId="6" fillId="0" borderId="2" xfId="7" applyFont="1" applyBorder="1" applyAlignment="1">
      <alignment wrapText="1"/>
    </xf>
    <xf numFmtId="170" fontId="6" fillId="0" borderId="2" xfId="11" applyNumberFormat="1" applyFont="1" applyFill="1" applyBorder="1" applyAlignment="1">
      <alignment wrapText="1"/>
    </xf>
    <xf numFmtId="0" fontId="7" fillId="0" borderId="25" xfId="7" applyBorder="1" applyAlignment="1">
      <alignment horizontal="center" wrapText="1"/>
    </xf>
    <xf numFmtId="0" fontId="6" fillId="0" borderId="26" xfId="7" applyFont="1" applyBorder="1" applyAlignment="1">
      <alignment wrapText="1"/>
    </xf>
    <xf numFmtId="0" fontId="7" fillId="0" borderId="26" xfId="7" applyBorder="1" applyAlignment="1">
      <alignment wrapText="1"/>
    </xf>
    <xf numFmtId="170" fontId="6" fillId="0" borderId="26" xfId="11" applyNumberFormat="1" applyFont="1" applyFill="1" applyBorder="1" applyAlignment="1">
      <alignment wrapText="1"/>
    </xf>
    <xf numFmtId="170" fontId="7" fillId="0" borderId="0" xfId="7" applyNumberFormat="1" applyAlignment="1">
      <alignment wrapText="1"/>
    </xf>
    <xf numFmtId="0" fontId="7" fillId="0" borderId="0" xfId="7" applyAlignment="1">
      <alignment horizontal="center" wrapText="1"/>
    </xf>
    <xf numFmtId="0" fontId="6" fillId="0" borderId="0" xfId="7" applyFont="1" applyAlignment="1">
      <alignment wrapText="1"/>
    </xf>
    <xf numFmtId="170" fontId="6" fillId="0" borderId="0" xfId="11" applyNumberFormat="1" applyFont="1" applyFill="1" applyBorder="1" applyAlignment="1">
      <alignment wrapText="1"/>
    </xf>
    <xf numFmtId="0" fontId="7" fillId="0" borderId="31" xfId="7" applyBorder="1" applyAlignment="1">
      <alignment wrapText="1"/>
    </xf>
    <xf numFmtId="4" fontId="7" fillId="0" borderId="2" xfId="11" applyNumberFormat="1" applyFont="1" applyFill="1" applyBorder="1" applyAlignment="1">
      <alignment wrapText="1"/>
    </xf>
    <xf numFmtId="0" fontId="6" fillId="3" borderId="24" xfId="7" applyFont="1" applyFill="1" applyBorder="1" applyAlignment="1">
      <alignment horizontal="center"/>
    </xf>
    <xf numFmtId="0" fontId="6" fillId="3" borderId="2" xfId="7" applyFont="1" applyFill="1" applyBorder="1"/>
    <xf numFmtId="0" fontId="7" fillId="3" borderId="2" xfId="7" applyFill="1" applyBorder="1"/>
    <xf numFmtId="0" fontId="7" fillId="3" borderId="24" xfId="7" applyFill="1" applyBorder="1" applyAlignment="1">
      <alignment horizontal="center"/>
    </xf>
    <xf numFmtId="0" fontId="7" fillId="3" borderId="2" xfId="7" applyFill="1" applyBorder="1" applyAlignment="1">
      <alignment wrapText="1"/>
    </xf>
    <xf numFmtId="0" fontId="7" fillId="3" borderId="2" xfId="7" applyFill="1" applyBorder="1" applyAlignment="1">
      <alignment horizontal="center"/>
    </xf>
    <xf numFmtId="0" fontId="7" fillId="3" borderId="25" xfId="7" applyFill="1" applyBorder="1" applyAlignment="1">
      <alignment horizontal="center"/>
    </xf>
    <xf numFmtId="0" fontId="7" fillId="3" borderId="26" xfId="7" applyFill="1" applyBorder="1" applyAlignment="1">
      <alignment wrapText="1"/>
    </xf>
    <xf numFmtId="171" fontId="7" fillId="0" borderId="0" xfId="7" applyNumberFormat="1" applyAlignment="1">
      <alignment wrapText="1"/>
    </xf>
    <xf numFmtId="170" fontId="7" fillId="3" borderId="2" xfId="11" applyNumberFormat="1" applyFont="1" applyFill="1" applyBorder="1"/>
    <xf numFmtId="0" fontId="6" fillId="3" borderId="26" xfId="7" applyFont="1" applyFill="1" applyBorder="1" applyAlignment="1">
      <alignment wrapText="1"/>
    </xf>
    <xf numFmtId="0" fontId="7" fillId="3" borderId="26" xfId="7" applyFill="1" applyBorder="1" applyAlignment="1">
      <alignment horizontal="center"/>
    </xf>
    <xf numFmtId="0" fontId="7" fillId="3" borderId="0" xfId="7" applyFill="1" applyAlignment="1">
      <alignment horizontal="center"/>
    </xf>
    <xf numFmtId="0" fontId="6" fillId="3" borderId="0" xfId="7" applyFont="1" applyFill="1" applyAlignment="1">
      <alignment wrapText="1"/>
    </xf>
    <xf numFmtId="170" fontId="6" fillId="3" borderId="0" xfId="11" applyNumberFormat="1" applyFont="1" applyFill="1" applyBorder="1"/>
    <xf numFmtId="0" fontId="6" fillId="0" borderId="22" xfId="7" applyFont="1" applyBorder="1" applyAlignment="1">
      <alignment horizontal="center"/>
    </xf>
    <xf numFmtId="0" fontId="6" fillId="0" borderId="23" xfId="7" applyFont="1" applyBorder="1"/>
    <xf numFmtId="0" fontId="7" fillId="0" borderId="23" xfId="7" applyBorder="1"/>
    <xf numFmtId="170" fontId="7" fillId="3" borderId="26" xfId="11" applyNumberFormat="1" applyFont="1" applyFill="1" applyBorder="1"/>
    <xf numFmtId="0" fontId="7" fillId="0" borderId="2" xfId="7" applyBorder="1" applyAlignment="1">
      <alignment horizontal="center"/>
    </xf>
    <xf numFmtId="0" fontId="7" fillId="14" borderId="2" xfId="7" applyFill="1" applyBorder="1" applyAlignment="1">
      <alignment wrapText="1"/>
    </xf>
    <xf numFmtId="0" fontId="7" fillId="14" borderId="2" xfId="7" applyFill="1" applyBorder="1" applyAlignment="1">
      <alignment horizontal="center"/>
    </xf>
    <xf numFmtId="0" fontId="7" fillId="14" borderId="2" xfId="7" applyFill="1" applyBorder="1"/>
    <xf numFmtId="3" fontId="7" fillId="0" borderId="0" xfId="7" applyNumberFormat="1" applyAlignment="1">
      <alignment horizontal="right"/>
    </xf>
    <xf numFmtId="0" fontId="7" fillId="15" borderId="2" xfId="7" applyFill="1" applyBorder="1"/>
    <xf numFmtId="0" fontId="7" fillId="15" borderId="26" xfId="7" applyFill="1" applyBorder="1"/>
    <xf numFmtId="9" fontId="7" fillId="0" borderId="0" xfId="7" applyNumberFormat="1" applyAlignment="1">
      <alignment wrapText="1"/>
    </xf>
    <xf numFmtId="0" fontId="7" fillId="3" borderId="21" xfId="7" applyFill="1" applyBorder="1" applyAlignment="1">
      <alignment horizontal="center"/>
    </xf>
    <xf numFmtId="170" fontId="7" fillId="0" borderId="0" xfId="7" applyNumberFormat="1" applyAlignment="1">
      <alignment horizontal="center"/>
    </xf>
    <xf numFmtId="170" fontId="7" fillId="0" borderId="0" xfId="7" applyNumberFormat="1"/>
    <xf numFmtId="10" fontId="7" fillId="0" borderId="0" xfId="1" applyNumberFormat="1" applyFont="1" applyAlignment="1">
      <alignment wrapText="1"/>
    </xf>
    <xf numFmtId="0" fontId="6" fillId="0" borderId="37" xfId="7" applyFont="1" applyBorder="1" applyAlignment="1">
      <alignment horizontal="center"/>
    </xf>
    <xf numFmtId="0" fontId="6" fillId="0" borderId="20" xfId="7" applyFont="1" applyBorder="1"/>
    <xf numFmtId="0" fontId="7" fillId="3" borderId="20" xfId="7" applyFill="1" applyBorder="1" applyAlignment="1">
      <alignment horizontal="center"/>
    </xf>
    <xf numFmtId="0" fontId="6" fillId="0" borderId="20" xfId="7" applyFont="1" applyBorder="1" applyAlignment="1">
      <alignment horizontal="center"/>
    </xf>
    <xf numFmtId="10" fontId="7" fillId="0" borderId="0" xfId="1" applyNumberFormat="1" applyFont="1"/>
    <xf numFmtId="168" fontId="6" fillId="0" borderId="0" xfId="7" applyNumberFormat="1" applyFont="1" applyAlignment="1">
      <alignment wrapText="1"/>
    </xf>
    <xf numFmtId="0" fontId="29" fillId="0" borderId="0" xfId="9" applyFont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/>
    </xf>
    <xf numFmtId="9" fontId="0" fillId="0" borderId="2" xfId="1" applyNumberFormat="1" applyFont="1" applyBorder="1"/>
    <xf numFmtId="1" fontId="0" fillId="0" borderId="0" xfId="0" applyNumberFormat="1"/>
    <xf numFmtId="0" fontId="7" fillId="3" borderId="0" xfId="7" applyFill="1" applyBorder="1" applyAlignment="1">
      <alignment horizontal="center"/>
    </xf>
    <xf numFmtId="0" fontId="6" fillId="0" borderId="2" xfId="0" applyFont="1" applyBorder="1" applyAlignment="1">
      <alignment horizontal="right"/>
    </xf>
    <xf numFmtId="0" fontId="7" fillId="0" borderId="4" xfId="7" applyBorder="1"/>
    <xf numFmtId="10" fontId="41" fillId="0" borderId="39" xfId="7" applyNumberFormat="1" applyFont="1" applyBorder="1" applyAlignment="1">
      <alignment horizontal="center" vertical="top" shrinkToFit="1"/>
    </xf>
    <xf numFmtId="10" fontId="41" fillId="0" borderId="40" xfId="7" applyNumberFormat="1" applyFont="1" applyBorder="1" applyAlignment="1">
      <alignment horizontal="center" vertical="top" shrinkToFit="1"/>
    </xf>
    <xf numFmtId="10" fontId="7" fillId="3" borderId="2" xfId="7" applyNumberFormat="1" applyFill="1" applyBorder="1" applyAlignment="1">
      <alignment horizontal="center"/>
    </xf>
    <xf numFmtId="170" fontId="7" fillId="3" borderId="2" xfId="7" applyNumberFormat="1" applyFill="1" applyBorder="1" applyAlignment="1">
      <alignment horizontal="center" vertical="center"/>
    </xf>
    <xf numFmtId="170" fontId="7" fillId="3" borderId="2" xfId="11" applyNumberFormat="1" applyFont="1" applyFill="1" applyBorder="1" applyAlignment="1">
      <alignment horizontal="center" vertical="center"/>
    </xf>
    <xf numFmtId="170" fontId="6" fillId="3" borderId="26" xfId="11" applyNumberFormat="1" applyFont="1" applyFill="1" applyBorder="1" applyAlignment="1">
      <alignment horizontal="center" vertical="center"/>
    </xf>
    <xf numFmtId="2" fontId="7" fillId="15" borderId="2" xfId="7" applyNumberFormat="1" applyFill="1" applyBorder="1"/>
    <xf numFmtId="2" fontId="7" fillId="14" borderId="2" xfId="7" applyNumberFormat="1" applyFill="1" applyBorder="1" applyAlignment="1">
      <alignment horizontal="right"/>
    </xf>
    <xf numFmtId="0" fontId="7" fillId="15" borderId="2" xfId="0" applyFont="1" applyFill="1" applyBorder="1"/>
    <xf numFmtId="0" fontId="0" fillId="15" borderId="2" xfId="0" applyFill="1" applyBorder="1"/>
    <xf numFmtId="172" fontId="0" fillId="15" borderId="2" xfId="0" applyNumberFormat="1" applyFill="1" applyBorder="1"/>
    <xf numFmtId="3" fontId="7" fillId="0" borderId="2" xfId="7" applyNumberFormat="1" applyBorder="1" applyAlignment="1">
      <alignment horizontal="right" vertical="center"/>
    </xf>
    <xf numFmtId="3" fontId="7" fillId="0" borderId="2" xfId="7" applyNumberFormat="1" applyBorder="1" applyAlignment="1">
      <alignment horizontal="right" vertical="center" wrapText="1"/>
    </xf>
    <xf numFmtId="170" fontId="6" fillId="0" borderId="2" xfId="11" applyNumberFormat="1" applyFont="1" applyFill="1" applyBorder="1" applyAlignment="1">
      <alignment horizontal="right" wrapText="1"/>
    </xf>
    <xf numFmtId="0" fontId="7" fillId="0" borderId="2" xfId="7" applyBorder="1" applyAlignment="1">
      <alignment horizontal="right" wrapText="1"/>
    </xf>
    <xf numFmtId="170" fontId="0" fillId="0" borderId="2" xfId="11" applyNumberFormat="1" applyFont="1" applyFill="1" applyBorder="1" applyAlignment="1">
      <alignment horizontal="right" wrapText="1"/>
    </xf>
    <xf numFmtId="170" fontId="6" fillId="0" borderId="26" xfId="11" applyNumberFormat="1" applyFont="1" applyFill="1" applyBorder="1" applyAlignment="1">
      <alignment horizontal="right" wrapText="1"/>
    </xf>
    <xf numFmtId="0" fontId="43" fillId="0" borderId="41" xfId="0" applyFont="1" applyBorder="1" applyAlignment="1">
      <alignment horizontal="center" vertical="center" wrapText="1"/>
    </xf>
    <xf numFmtId="0" fontId="43" fillId="0" borderId="36" xfId="0" applyFont="1" applyBorder="1" applyAlignment="1">
      <alignment horizontal="center" vertical="center" wrapText="1"/>
    </xf>
    <xf numFmtId="0" fontId="44" fillId="4" borderId="43" xfId="0" applyFont="1" applyFill="1" applyBorder="1" applyAlignment="1">
      <alignment horizontal="justify" vertical="center" wrapText="1"/>
    </xf>
    <xf numFmtId="0" fontId="45" fillId="4" borderId="45" xfId="0" applyFont="1" applyFill="1" applyBorder="1" applyAlignment="1">
      <alignment horizontal="justify" vertical="center" wrapText="1"/>
    </xf>
    <xf numFmtId="0" fontId="44" fillId="4" borderId="44" xfId="0" applyFont="1" applyFill="1" applyBorder="1" applyAlignment="1">
      <alignment horizontal="center" vertical="center" wrapText="1"/>
    </xf>
    <xf numFmtId="0" fontId="44" fillId="4" borderId="45" xfId="0" applyFont="1" applyFill="1" applyBorder="1" applyAlignment="1">
      <alignment horizontal="justify" vertical="center" wrapText="1"/>
    </xf>
    <xf numFmtId="0" fontId="44" fillId="0" borderId="45" xfId="0" applyFont="1" applyBorder="1" applyAlignment="1">
      <alignment horizontal="center" vertical="center" wrapText="1"/>
    </xf>
    <xf numFmtId="0" fontId="44" fillId="0" borderId="44" xfId="0" applyFont="1" applyBorder="1" applyAlignment="1">
      <alignment horizontal="center" vertical="center" wrapText="1"/>
    </xf>
    <xf numFmtId="0" fontId="44" fillId="0" borderId="45" xfId="0" applyFont="1" applyBorder="1" applyAlignment="1">
      <alignment horizontal="justify" vertical="center" wrapText="1"/>
    </xf>
    <xf numFmtId="0" fontId="43" fillId="0" borderId="45" xfId="0" applyFont="1" applyBorder="1" applyAlignment="1">
      <alignment horizontal="center" vertical="center" wrapText="1"/>
    </xf>
    <xf numFmtId="2" fontId="43" fillId="0" borderId="45" xfId="0" applyNumberFormat="1" applyFont="1" applyBorder="1" applyAlignment="1">
      <alignment horizontal="center" vertical="center" wrapText="1"/>
    </xf>
    <xf numFmtId="0" fontId="4" fillId="16" borderId="2" xfId="0" applyFont="1" applyFill="1" applyBorder="1" applyAlignment="1">
      <alignment horizontal="center"/>
    </xf>
    <xf numFmtId="0" fontId="4" fillId="16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top"/>
    </xf>
    <xf numFmtId="0" fontId="0" fillId="0" borderId="0" xfId="0"/>
    <xf numFmtId="0" fontId="2" fillId="0" borderId="2" xfId="0" applyFont="1" applyBorder="1" applyAlignment="1">
      <alignment horizontal="center" vertical="top"/>
    </xf>
    <xf numFmtId="1" fontId="0" fillId="0" borderId="5" xfId="0" applyNumberFormat="1" applyBorder="1" applyAlignment="1">
      <alignment horizontal="center" vertical="center"/>
    </xf>
    <xf numFmtId="4" fontId="3" fillId="16" borderId="2" xfId="0" applyNumberFormat="1" applyFont="1" applyFill="1" applyBorder="1" applyAlignment="1">
      <alignment horizontal="center"/>
    </xf>
    <xf numFmtId="4" fontId="18" fillId="16" borderId="2" xfId="0" applyNumberFormat="1" applyFont="1" applyFill="1" applyBorder="1" applyAlignment="1">
      <alignment horizontal="center"/>
    </xf>
    <xf numFmtId="4" fontId="4" fillId="16" borderId="2" xfId="0" applyNumberFormat="1" applyFont="1" applyFill="1" applyBorder="1" applyAlignment="1">
      <alignment horizontal="center"/>
    </xf>
    <xf numFmtId="4" fontId="25" fillId="16" borderId="2" xfId="0" applyNumberFormat="1" applyFont="1" applyFill="1" applyBorder="1" applyAlignment="1">
      <alignment horizontal="center"/>
    </xf>
    <xf numFmtId="4" fontId="3" fillId="16" borderId="2" xfId="0" applyNumberFormat="1" applyFont="1" applyFill="1" applyBorder="1" applyAlignment="1">
      <alignment horizontal="center" vertical="center"/>
    </xf>
    <xf numFmtId="4" fontId="26" fillId="16" borderId="2" xfId="0" applyNumberFormat="1" applyFont="1" applyFill="1" applyBorder="1" applyAlignment="1">
      <alignment horizontal="center"/>
    </xf>
    <xf numFmtId="4" fontId="24" fillId="2" borderId="2" xfId="0" applyNumberFormat="1" applyFont="1" applyFill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173" fontId="0" fillId="0" borderId="0" xfId="0" applyNumberFormat="1"/>
    <xf numFmtId="0" fontId="8" fillId="16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4" fillId="4" borderId="42" xfId="0" applyFont="1" applyFill="1" applyBorder="1" applyAlignment="1">
      <alignment horizontal="center" vertical="center" wrapText="1"/>
    </xf>
    <xf numFmtId="0" fontId="44" fillId="4" borderId="44" xfId="0" applyFont="1" applyFill="1" applyBorder="1" applyAlignment="1">
      <alignment horizontal="center" vertical="center" wrapText="1"/>
    </xf>
    <xf numFmtId="2" fontId="44" fillId="2" borderId="42" xfId="0" applyNumberFormat="1" applyFont="1" applyFill="1" applyBorder="1" applyAlignment="1">
      <alignment horizontal="center" vertical="center" wrapText="1"/>
    </xf>
    <xf numFmtId="0" fontId="44" fillId="2" borderId="4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0" fillId="3" borderId="7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left" vertical="center" wrapText="1"/>
    </xf>
    <xf numFmtId="17" fontId="21" fillId="0" borderId="2" xfId="0" applyNumberFormat="1" applyFont="1" applyBorder="1" applyAlignment="1">
      <alignment horizontal="center" vertical="center"/>
    </xf>
    <xf numFmtId="10" fontId="21" fillId="0" borderId="18" xfId="0" applyNumberFormat="1" applyFont="1" applyBorder="1" applyAlignment="1">
      <alignment horizontal="center" vertical="center" wrapText="1"/>
    </xf>
    <xf numFmtId="10" fontId="21" fillId="0" borderId="20" xfId="0" applyNumberFormat="1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17" fontId="21" fillId="0" borderId="4" xfId="0" applyNumberFormat="1" applyFont="1" applyBorder="1" applyAlignment="1">
      <alignment horizontal="center" vertical="center"/>
    </xf>
    <xf numFmtId="17" fontId="21" fillId="0" borderId="19" xfId="0" applyNumberFormat="1" applyFont="1" applyBorder="1" applyAlignment="1">
      <alignment horizontal="center" vertical="center"/>
    </xf>
    <xf numFmtId="17" fontId="21" fillId="0" borderId="5" xfId="0" applyNumberFormat="1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28" fillId="0" borderId="3" xfId="0" applyFont="1" applyBorder="1" applyAlignment="1"/>
    <xf numFmtId="0" fontId="30" fillId="0" borderId="2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0" fontId="40" fillId="0" borderId="2" xfId="9" applyFont="1" applyBorder="1" applyAlignment="1">
      <alignment horizontal="left" vertical="top" wrapText="1"/>
    </xf>
    <xf numFmtId="0" fontId="40" fillId="0" borderId="2" xfId="9" applyFont="1" applyBorder="1" applyAlignment="1">
      <alignment horizontal="right" vertical="top" wrapText="1"/>
    </xf>
    <xf numFmtId="0" fontId="38" fillId="0" borderId="2" xfId="9" applyBorder="1" applyAlignment="1">
      <alignment horizontal="left" wrapText="1"/>
    </xf>
    <xf numFmtId="0" fontId="40" fillId="0" borderId="2" xfId="9" applyFont="1" applyBorder="1" applyAlignment="1">
      <alignment horizontal="center" vertical="top" wrapText="1"/>
    </xf>
    <xf numFmtId="0" fontId="29" fillId="0" borderId="0" xfId="9" applyFont="1" applyAlignment="1">
      <alignment horizontal="center" vertical="top" wrapText="1"/>
    </xf>
    <xf numFmtId="0" fontId="26" fillId="7" borderId="2" xfId="9" applyFont="1" applyFill="1" applyBorder="1" applyAlignment="1">
      <alignment horizontal="center" vertical="top" wrapText="1"/>
    </xf>
    <xf numFmtId="0" fontId="38" fillId="0" borderId="2" xfId="9" applyBorder="1" applyAlignment="1">
      <alignment horizontal="left" vertical="center" wrapText="1"/>
    </xf>
    <xf numFmtId="0" fontId="38" fillId="0" borderId="2" xfId="9" applyBorder="1" applyAlignment="1">
      <alignment horizontal="left" vertical="top" wrapText="1"/>
    </xf>
    <xf numFmtId="0" fontId="26" fillId="7" borderId="2" xfId="9" applyFont="1" applyFill="1" applyBorder="1" applyAlignment="1">
      <alignment horizontal="left" vertical="top" wrapText="1" indent="11"/>
    </xf>
    <xf numFmtId="0" fontId="6" fillId="12" borderId="28" xfId="7" applyFont="1" applyFill="1" applyBorder="1" applyAlignment="1">
      <alignment horizontal="center"/>
    </xf>
    <xf numFmtId="0" fontId="6" fillId="12" borderId="29" xfId="7" applyFont="1" applyFill="1" applyBorder="1" applyAlignment="1">
      <alignment horizontal="center"/>
    </xf>
    <xf numFmtId="0" fontId="6" fillId="12" borderId="38" xfId="7" applyFont="1" applyFill="1" applyBorder="1" applyAlignment="1">
      <alignment horizontal="center"/>
    </xf>
    <xf numFmtId="0" fontId="6" fillId="12" borderId="30" xfId="7" applyFont="1" applyFill="1" applyBorder="1" applyAlignment="1">
      <alignment horizontal="center"/>
    </xf>
    <xf numFmtId="0" fontId="6" fillId="8" borderId="22" xfId="7" applyFont="1" applyFill="1" applyBorder="1" applyAlignment="1">
      <alignment horizontal="center"/>
    </xf>
    <xf numFmtId="0" fontId="6" fillId="8" borderId="23" xfId="7" applyFont="1" applyFill="1" applyBorder="1" applyAlignment="1">
      <alignment horizontal="center"/>
    </xf>
    <xf numFmtId="0" fontId="6" fillId="8" borderId="27" xfId="7" applyFont="1" applyFill="1" applyBorder="1" applyAlignment="1">
      <alignment horizontal="center"/>
    </xf>
    <xf numFmtId="0" fontId="6" fillId="9" borderId="22" xfId="7" applyFont="1" applyFill="1" applyBorder="1" applyAlignment="1">
      <alignment horizontal="center"/>
    </xf>
    <xf numFmtId="0" fontId="6" fillId="9" borderId="23" xfId="7" applyFont="1" applyFill="1" applyBorder="1" applyAlignment="1">
      <alignment horizontal="center"/>
    </xf>
    <xf numFmtId="0" fontId="6" fillId="9" borderId="28" xfId="7" applyFont="1" applyFill="1" applyBorder="1" applyAlignment="1">
      <alignment horizontal="center"/>
    </xf>
    <xf numFmtId="0" fontId="6" fillId="9" borderId="29" xfId="7" applyFont="1" applyFill="1" applyBorder="1" applyAlignment="1">
      <alignment horizontal="center"/>
    </xf>
    <xf numFmtId="0" fontId="6" fillId="9" borderId="27" xfId="7" applyFont="1" applyFill="1" applyBorder="1" applyAlignment="1">
      <alignment horizontal="center"/>
    </xf>
    <xf numFmtId="0" fontId="6" fillId="10" borderId="22" xfId="7" applyFont="1" applyFill="1" applyBorder="1" applyAlignment="1">
      <alignment horizontal="center"/>
    </xf>
    <xf numFmtId="0" fontId="6" fillId="10" borderId="23" xfId="7" applyFont="1" applyFill="1" applyBorder="1" applyAlignment="1">
      <alignment horizontal="center"/>
    </xf>
    <xf numFmtId="0" fontId="42" fillId="11" borderId="32" xfId="7" applyFont="1" applyFill="1" applyBorder="1" applyAlignment="1">
      <alignment horizontal="center"/>
    </xf>
    <xf numFmtId="0" fontId="42" fillId="11" borderId="33" xfId="7" applyFont="1" applyFill="1" applyBorder="1" applyAlignment="1">
      <alignment horizontal="center"/>
    </xf>
    <xf numFmtId="0" fontId="6" fillId="13" borderId="34" xfId="7" applyFont="1" applyFill="1" applyBorder="1" applyAlignment="1">
      <alignment horizontal="center"/>
    </xf>
    <xf numFmtId="0" fontId="6" fillId="13" borderId="35" xfId="7" applyFont="1" applyFill="1" applyBorder="1" applyAlignment="1">
      <alignment horizontal="center"/>
    </xf>
    <xf numFmtId="0" fontId="6" fillId="13" borderId="36" xfId="7" applyFont="1" applyFill="1" applyBorder="1" applyAlignment="1">
      <alignment horizontal="center"/>
    </xf>
    <xf numFmtId="0" fontId="47" fillId="3" borderId="0" xfId="0" applyFont="1" applyFill="1"/>
    <xf numFmtId="1" fontId="50" fillId="3" borderId="2" xfId="0" applyNumberFormat="1" applyFont="1" applyFill="1" applyBorder="1" applyAlignment="1">
      <alignment horizontal="center"/>
    </xf>
    <xf numFmtId="1" fontId="51" fillId="3" borderId="2" xfId="0" applyNumberFormat="1" applyFont="1" applyFill="1" applyBorder="1" applyAlignment="1">
      <alignment horizontal="center"/>
    </xf>
    <xf numFmtId="0" fontId="48" fillId="3" borderId="0" xfId="0" applyFont="1" applyFill="1" applyBorder="1" applyAlignment="1">
      <alignment horizontal="center"/>
    </xf>
    <xf numFmtId="1" fontId="49" fillId="3" borderId="0" xfId="0" applyNumberFormat="1" applyFont="1" applyFill="1" applyBorder="1" applyAlignment="1">
      <alignment horizontal="center"/>
    </xf>
    <xf numFmtId="1" fontId="50" fillId="3" borderId="0" xfId="0" applyNumberFormat="1" applyFont="1" applyFill="1" applyBorder="1" applyAlignment="1">
      <alignment horizontal="center"/>
    </xf>
    <xf numFmtId="1" fontId="51" fillId="3" borderId="0" xfId="0" applyNumberFormat="1" applyFont="1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1" fillId="3" borderId="2" xfId="0" applyFont="1" applyFill="1" applyBorder="1" applyAlignment="1">
      <alignment horizontal="center" wrapText="1"/>
    </xf>
    <xf numFmtId="3" fontId="50" fillId="3" borderId="2" xfId="0" applyNumberFormat="1" applyFont="1" applyFill="1" applyBorder="1" applyAlignment="1">
      <alignment horizontal="center"/>
    </xf>
    <xf numFmtId="3" fontId="50" fillId="3" borderId="2" xfId="0" applyNumberFormat="1" applyFont="1" applyFill="1" applyBorder="1" applyAlignment="1">
      <alignment horizontal="center" vertical="center"/>
    </xf>
    <xf numFmtId="0" fontId="50" fillId="3" borderId="2" xfId="0" applyFont="1" applyFill="1" applyBorder="1"/>
    <xf numFmtId="9" fontId="50" fillId="3" borderId="2" xfId="1" applyFont="1" applyFill="1" applyBorder="1" applyAlignment="1">
      <alignment horizontal="center"/>
    </xf>
    <xf numFmtId="9" fontId="50" fillId="3" borderId="2" xfId="1" applyFont="1" applyFill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2" fontId="0" fillId="0" borderId="4" xfId="0" applyNumberForma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/>
    </xf>
    <xf numFmtId="1" fontId="0" fillId="0" borderId="4" xfId="0" applyNumberFormat="1" applyBorder="1" applyAlignment="1">
      <alignment horizontal="center" vertical="center"/>
    </xf>
    <xf numFmtId="0" fontId="49" fillId="3" borderId="0" xfId="0" applyFont="1" applyFill="1" applyBorder="1" applyAlignment="1">
      <alignment horizontal="center" vertical="center"/>
    </xf>
    <xf numFmtId="2" fontId="47" fillId="3" borderId="0" xfId="0" quotePrefix="1" applyNumberFormat="1" applyFont="1" applyFill="1" applyBorder="1" applyAlignment="1">
      <alignment horizontal="center"/>
    </xf>
    <xf numFmtId="2" fontId="47" fillId="3" borderId="0" xfId="0" applyNumberFormat="1" applyFont="1" applyFill="1" applyBorder="1" applyAlignment="1">
      <alignment horizontal="center"/>
    </xf>
    <xf numFmtId="2" fontId="47" fillId="3" borderId="0" xfId="0" applyNumberFormat="1" applyFont="1" applyFill="1" applyBorder="1" applyAlignment="1">
      <alignment horizontal="center" vertical="center"/>
    </xf>
    <xf numFmtId="2" fontId="46" fillId="3" borderId="0" xfId="0" applyNumberFormat="1" applyFont="1" applyFill="1" applyBorder="1" applyAlignment="1">
      <alignment horizontal="center"/>
    </xf>
    <xf numFmtId="1" fontId="47" fillId="3" borderId="0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0" xfId="0" applyBorder="1"/>
    <xf numFmtId="2" fontId="47" fillId="3" borderId="0" xfId="0" applyNumberFormat="1" applyFont="1" applyFill="1" applyBorder="1"/>
    <xf numFmtId="0" fontId="47" fillId="3" borderId="0" xfId="0" applyFont="1" applyFill="1" applyBorder="1"/>
    <xf numFmtId="0" fontId="46" fillId="3" borderId="0" xfId="0" applyFont="1" applyFill="1" applyBorder="1"/>
    <xf numFmtId="1" fontId="47" fillId="3" borderId="0" xfId="0" applyNumberFormat="1" applyFont="1" applyFill="1" applyBorder="1"/>
    <xf numFmtId="1" fontId="0" fillId="0" borderId="0" xfId="0" applyNumberFormat="1" applyBorder="1" applyAlignment="1">
      <alignment horizontal="center" vertical="center"/>
    </xf>
    <xf numFmtId="0" fontId="49" fillId="3" borderId="0" xfId="0" applyFont="1" applyFill="1" applyBorder="1"/>
    <xf numFmtId="9" fontId="47" fillId="3" borderId="0" xfId="0" applyNumberFormat="1" applyFont="1" applyFill="1" applyBorder="1" applyAlignment="1">
      <alignment horizontal="center" vertical="center"/>
    </xf>
    <xf numFmtId="9" fontId="47" fillId="3" borderId="0" xfId="0" applyNumberFormat="1" applyFont="1" applyFill="1" applyBorder="1" applyAlignment="1">
      <alignment horizontal="center"/>
    </xf>
    <xf numFmtId="1" fontId="0" fillId="0" borderId="15" xfId="0" applyNumberFormat="1" applyBorder="1" applyAlignment="1">
      <alignment horizontal="center" vertical="center"/>
    </xf>
    <xf numFmtId="9" fontId="47" fillId="3" borderId="0" xfId="1" applyFont="1" applyFill="1"/>
    <xf numFmtId="0" fontId="4" fillId="0" borderId="4" xfId="0" applyFont="1" applyBorder="1"/>
    <xf numFmtId="0" fontId="51" fillId="3" borderId="0" xfId="0" applyFont="1" applyFill="1" applyBorder="1"/>
    <xf numFmtId="1" fontId="52" fillId="3" borderId="0" xfId="0" applyNumberFormat="1" applyFont="1" applyFill="1" applyBorder="1" applyAlignment="1">
      <alignment horizontal="center"/>
    </xf>
    <xf numFmtId="1" fontId="50" fillId="3" borderId="0" xfId="0" applyNumberFormat="1" applyFont="1" applyFill="1" applyBorder="1" applyAlignment="1">
      <alignment horizontal="center" vertical="center"/>
    </xf>
    <xf numFmtId="2" fontId="50" fillId="3" borderId="0" xfId="0" applyNumberFormat="1" applyFont="1" applyFill="1" applyBorder="1" applyAlignment="1">
      <alignment horizontal="center" vertical="center"/>
    </xf>
    <xf numFmtId="0" fontId="50" fillId="3" borderId="0" xfId="0" applyFont="1" applyFill="1" applyBorder="1" applyAlignment="1">
      <alignment horizontal="center" vertical="center"/>
    </xf>
    <xf numFmtId="10" fontId="50" fillId="3" borderId="0" xfId="1" applyNumberFormat="1" applyFont="1" applyFill="1" applyBorder="1" applyAlignment="1">
      <alignment horizontal="center"/>
    </xf>
    <xf numFmtId="10" fontId="51" fillId="3" borderId="0" xfId="1" applyNumberFormat="1" applyFont="1" applyFill="1" applyBorder="1" applyAlignment="1">
      <alignment horizontal="center"/>
    </xf>
    <xf numFmtId="0" fontId="3" fillId="0" borderId="4" xfId="0" applyFont="1" applyBorder="1"/>
    <xf numFmtId="0" fontId="46" fillId="3" borderId="0" xfId="0" applyFont="1" applyFill="1" applyBorder="1" applyAlignment="1">
      <alignment horizontal="center"/>
    </xf>
    <xf numFmtId="1" fontId="47" fillId="3" borderId="0" xfId="0" applyNumberFormat="1" applyFont="1" applyFill="1" applyBorder="1" applyAlignment="1">
      <alignment horizontal="center"/>
    </xf>
    <xf numFmtId="0" fontId="47" fillId="3" borderId="0" xfId="0" applyFont="1" applyFill="1" applyBorder="1" applyAlignment="1">
      <alignment horizontal="center"/>
    </xf>
    <xf numFmtId="10" fontId="47" fillId="3" borderId="0" xfId="1" applyNumberFormat="1" applyFont="1" applyFill="1" applyBorder="1" applyAlignment="1">
      <alignment horizontal="center"/>
    </xf>
  </cellXfs>
  <cellStyles count="14">
    <cellStyle name="Comma" xfId="6" builtinId="3"/>
    <cellStyle name="Comma 2" xfId="8"/>
    <cellStyle name="Comma 3" xfId="11"/>
    <cellStyle name="Hyperlink" xfId="3" builtinId="8"/>
    <cellStyle name="Hyperlink 2 2" xfId="5"/>
    <cellStyle name="Normal" xfId="0" builtinId="0"/>
    <cellStyle name="Normal 12 3" xfId="4"/>
    <cellStyle name="Normal 2" xfId="7"/>
    <cellStyle name="Normal 3" xfId="9"/>
    <cellStyle name="Percent" xfId="1" builtinId="5"/>
    <cellStyle name="Percent 2" xfId="10"/>
    <cellStyle name="Percent 2 2" xfId="13"/>
    <cellStyle name="Percent 3" xfId="12"/>
    <cellStyle name="Total" xfId="2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167736</xdr:colOff>
      <xdr:row>67</xdr:row>
      <xdr:rowOff>95849</xdr:rowOff>
    </xdr:from>
    <xdr:to>
      <xdr:col>13</xdr:col>
      <xdr:colOff>589544</xdr:colOff>
      <xdr:row>82</xdr:row>
      <xdr:rowOff>265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BDB3C778-BF06-4706-8EF8-205ECC965A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79076" y="11746829"/>
          <a:ext cx="4639479" cy="2479196"/>
        </a:xfrm>
        <a:prstGeom prst="rect">
          <a:avLst/>
        </a:prstGeom>
      </xdr:spPr>
    </xdr:pic>
    <xdr:clientData/>
  </xdr:twoCellAnchor>
  <xdr:twoCellAnchor editAs="oneCell">
    <xdr:from>
      <xdr:col>6</xdr:col>
      <xdr:colOff>867507</xdr:colOff>
      <xdr:row>47</xdr:row>
      <xdr:rowOff>1</xdr:rowOff>
    </xdr:from>
    <xdr:to>
      <xdr:col>14</xdr:col>
      <xdr:colOff>209716</xdr:colOff>
      <xdr:row>58</xdr:row>
      <xdr:rowOff>136574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631046CD-761F-0AD5-BA3C-F0F3FD24D1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31169" y="8264770"/>
          <a:ext cx="5055450" cy="19694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mc\c\My%20Documents\SpecialREPORT-MAY200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USER/LOCALS~1/Temp/Temporary%20Directory%201%20for%20itr6_2008_09_R1d.zip/integrateitr6/VersionI_CD_Z5_ADVANCE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USER/LOCALS~1/Temp/Temporary%20Directory%201%20for%20itr6_2008_09_R1d.zip/itr6_newu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ownloads/SPDCL-Distribution-MYT%20formats%205th%20CP-_ARR_FY27_v3.xlsx" TargetMode="External"/></Relationships>
</file>

<file path=xl/externalLinks/_rels/externalLink13.xml.rels><?xml version="1.0" encoding="UTF-8" standalone="yes"?>
<Relationships xmlns="http://schemas.openxmlformats.org/package/2006/relationships"><Relationship Id="rId2" Type="http://schemas.microsoft.com/office/2019/04/relationships/externalLinkLongPath" Target="MYT%20Depreciation%20Voltage%20wise%202024-25%20to%202026-27_updated.xlsx?B892AC85" TargetMode="External"/><Relationship Id="rId1" Type="http://schemas.openxmlformats.org/officeDocument/2006/relationships/externalLinkPath" Target="file:///\\B892AC85\MYT%20Depreciation%20Voltage%20wise%202024-25%20to%202026-27_updated.xlsx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/personal/trinathkoganti_kpmg_com/Documents/36.%20Telangana%20Power%20Utilities/ARR/Distribution%20Business/FY%2027%20filing/APR%20(True-up)%20FY%202024-25/SP/TGSPDCL_FSV%202024-25_19.07.2025-Provisionla.xls?EFF41D70" TargetMode="External"/><Relationship Id="rId1" Type="http://schemas.openxmlformats.org/officeDocument/2006/relationships/externalLinkPath" Target="file:///\\EFF41D70\TGSPDCL_FSV%202024-25_19.07.2025-Provisionla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ownloads/SPDCL-Distribution-MYT%20formats%205th%20CP-_ARR_FY27_v5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ownloads/TGSPDCL_DB_Summary_APR_v1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ownloads/Fully%20Depreciated%20Assets.xlsx" TargetMode="External"/></Relationships>
</file>

<file path=xl/externalLinks/_rels/externalLink18.xml.rels><?xml version="1.0" encoding="UTF-8" standalone="yes"?>
<Relationships xmlns="http://schemas.openxmlformats.org/package/2006/relationships"><Relationship Id="rId2" Type="http://schemas.microsoft.com/office/2019/04/relationships/externalLinkLongPath" Target="DEP.%20ON%20EXISTING%20CCA%20&amp;%20FULLY%20DEP%20CCA%20%202022-23%20to%202028-29..xlsx?B892AC85" TargetMode="External"/><Relationship Id="rId1" Type="http://schemas.openxmlformats.org/officeDocument/2006/relationships/externalLinkPath" Target="file:///\\B892AC85\DEP.%20ON%20EXISTING%20CCA%20&amp;%20FULLY%20DEP%20CCA%20%202022-23%20to%202028-29..xlsx" TargetMode="External"/></Relationships>
</file>

<file path=xl/externalLinks/_rels/externalLink19.xml.rels><?xml version="1.0" encoding="UTF-8" standalone="yes"?>
<Relationships xmlns="http://schemas.openxmlformats.org/package/2006/relationships"><Relationship Id="rId2" Type="http://schemas.microsoft.com/office/2019/04/relationships/externalLinkLongPath" Target="/personal/trinathkoganti_kpmg_com/Documents/36.%20Telangana%20Power%20Utilities/ARR/Distribution%20Business/FY%2027%20filing/APR%20(True-up)%20FY%202024-25/SP/SPDCL-Distribution-MYT%20formats%205th%20CP-VBR_M.xlsx?EFF41D70" TargetMode="External"/><Relationship Id="rId1" Type="http://schemas.openxmlformats.org/officeDocument/2006/relationships/externalLinkPath" Target="file:///\\EFF41D70\SPDCL-Distribution-MYT%20formats%205th%20CP-VBR_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in\e\copy%20old_data\CE-RAC\ARR%202004-05\Final%20model%20of%20all%20companies%20from%20KPMG\FINAL%20MODEL%2004-05\PP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ownloads/SPDCL-Distribution-MYT%20formats%205th%20CP-_ARR_FY27_v4.xlsx" TargetMode="External"/></Relationships>
</file>

<file path=xl/externalLinks/_rels/externalLink21.xml.rels><?xml version="1.0" encoding="UTF-8" standalone="yes"?>
<Relationships xmlns="http://schemas.openxmlformats.org/package/2006/relationships"><Relationship Id="rId2" Type="http://schemas.microsoft.com/office/2019/04/relationships/externalLinkLongPath" Target="SPDCL-Distribution-MYT%20formats%205th%20CP-_ARR_FY27_v31.xlsx?B892AC85" TargetMode="External"/><Relationship Id="rId1" Type="http://schemas.openxmlformats.org/officeDocument/2006/relationships/externalLinkPath" Target="file:///\\B892AC85\SPDCL-Distribution-MYT%20formats%205th%20CP-_ARR_FY27_v31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trinathkoganti_kpmg_com/Documents/36.%20Telangana%20Power%20Utilities/Tariffs%20Comparision/Tariffs%20Comparision%20FY%202025-26.xlsx" TargetMode="External"/></Relationships>
</file>

<file path=xl/externalLinks/_rels/externalLink23.xml.rels><?xml version="1.0" encoding="UTF-8" standalone="yes"?>
<Relationships xmlns="http://schemas.openxmlformats.org/package/2006/relationships"><Relationship Id="rId2" Type="http://schemas.microsoft.com/office/2019/04/relationships/externalLinkLongPath" Target="/personal/trinathkoganti_kpmg_com/Documents/36.%20Telangana%20Power%20Utilities/ARR/Distribution%20Business/FY%2027%20filing/APR%20(True-up)%20FY%202024-25/SP/Data%20Received%20from%20SP/11.10.2025/INPUT%20DATA%20FOR%20DB.xlsx?493F715F" TargetMode="External"/><Relationship Id="rId1" Type="http://schemas.openxmlformats.org/officeDocument/2006/relationships/externalLinkPath" Target="file:///\\493F715F\INPUT%20DATA%20FOR%20DB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trinathkoganti_kpmg_com/Documents/36.%20Telangana%20Power%20Utilities/ARR/Distribution%20Business/FY%2026%20Filings%20data/ARR/SPDCL-Distribution-MYT%20formats%205th%20CP-VBR_M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_distr\SHARE\Licensee%20Formats%20Revenu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Desktop/tds0607-2&amp;3qtr/Form%2026%206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o-rac2\LAKPATHI\JAO-RAC2\Tariff%20Order%202004-05\TARIFF_I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202\corporateoffice\corporateoffice\corporateoffice\A%20&amp;%20B%20Section\Workings%20Annual%20Accounts%202010-11\Desktop\Annual%20Accounts%202008-09\CA%20&amp;%20CL%202008-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ARR2005-06/Variances/7Feb05-Rev/Sales%20var0405-70205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202\corporateoffice\corporateoffice\TRIVENI\ANNUAL%20ACCOUNTS\Annual%20Accounts%202011-12\Accounts%202011-12%20final\APCPDCL-%20Revised%20Scheduled%20VI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USER/LOCALS~1/Temp/Temporary%20Directory%201%20for%20itr6_2008_09_R1d.zip/ITR5_G6_formu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000000"/>
      <sheetName val="BKDNS-11KV"/>
      <sheetName val="BKDNS-33KV"/>
      <sheetName val="BKDNS-EHT"/>
      <sheetName val="Newabstract"/>
      <sheetName val="SHORTFALL"/>
      <sheetName val="ehtbds"/>
      <sheetName val="EHT"/>
      <sheetName val="BKDNS"/>
      <sheetName val="ehtbd"/>
      <sheetName val="PTR-FAILURES"/>
      <sheetName val="DTR-FAILURES"/>
      <sheetName val="disomwiseDTRs"/>
      <sheetName val="EHT-ABSTRACT"/>
      <sheetName val="BKDNS (2)"/>
      <sheetName val="24-07-04 "/>
      <sheetName val="ABST(SOUTH)"/>
      <sheetName val="Profit &amp; Loss"/>
      <sheetName val="Profit &amp; Loss july"/>
      <sheetName val="27-08-04  (2)"/>
      <sheetName val="ABST(SOUTH) rev 08-04"/>
      <sheetName val="1000000000000"/>
      <sheetName val="2000000000000"/>
      <sheetName val="3000000000000"/>
      <sheetName val="4000000000000"/>
      <sheetName val="5000000000000"/>
      <sheetName val="Sheet1"/>
      <sheetName val="Index"/>
      <sheetName val="Achivements"/>
      <sheetName val="Ser rel"/>
      <sheetName val="Services released"/>
      <sheetName val="Ser-2006-07"/>
      <sheetName val="Ser-existing"/>
      <sheetName val="Divn month progress"/>
      <sheetName val="Divn abst."/>
      <sheetName val="Month wise prog."/>
      <sheetName val="SSs"/>
      <sheetName val="Achvt "/>
      <sheetName val="Agl (white paper)"/>
      <sheetName val="Dried up wells"/>
      <sheetName val="SS( 2006-07) "/>
      <sheetName val="SS-existing"/>
      <sheetName val="DW2004-05 "/>
      <sheetName val="a"/>
      <sheetName val="b"/>
      <sheetName val="c"/>
      <sheetName val="d"/>
      <sheetName val="HT"/>
      <sheetName val="HT abstrct"/>
      <sheetName val="HT Add (2)"/>
      <sheetName val="HT details"/>
      <sheetName val="HT Add"/>
      <sheetName val="HT Rel"/>
      <sheetName val="LI Sch"/>
      <sheetName val="LI Schemes dedi Charged"/>
      <sheetName val="LI 1"/>
      <sheetName val="LT Abstract"/>
      <sheetName val="LT Town"/>
      <sheetName val="LT Rural"/>
      <sheetName val="LT MTM"/>
      <sheetName val="LT GDV"/>
      <sheetName val="LT Pending"/>
      <sheetName val="New Agl"/>
      <sheetName val="aquaculture"/>
      <sheetName val="Tathkal"/>
      <sheetName val="agriculture"/>
      <sheetName val="house holds"/>
      <sheetName val="3"/>
      <sheetName val="2"/>
      <sheetName val="1"/>
      <sheetName val="Sheet2"/>
      <sheetName val="DTR_x000d_FAILURES"/>
      <sheetName val=""/>
      <sheetName val="DTR_x005f_x000d_FAILURES"/>
      <sheetName val="ATC Loss Red"/>
      <sheetName val="DTR FAILURES"/>
      <sheetName val="DTR_x005f_x005f_x005f_x000d_FAILURES"/>
      <sheetName val="3-BGP"/>
      <sheetName val="cap all"/>
      <sheetName val="DTR_x005f_x005f_x005f_x005f_x005f_x005f_x005f_x000d_FAI"/>
      <sheetName val="DTR_x005f_x005f_x005f_x000d_FAI"/>
      <sheetName val="DTR_x000a_FAILURES"/>
      <sheetName val="DTR_x005f_x005f_x005f_x005f_x005f_x005f_x005f_x005f_x00"/>
      <sheetName val="R.Hrs. Since Comm"/>
      <sheetName val="DTR_FAILURES"/>
      <sheetName val="Executive Summary -Thermal"/>
      <sheetName val="Stationwise Thermal &amp; Hydel Gen"/>
      <sheetName val="TWELVE"/>
      <sheetName val="DTR_x005f_x000a_FAILURES"/>
      <sheetName val="04REL"/>
      <sheetName val="SUMMERY"/>
      <sheetName val="DTR_x005f_x005f_x005f_x000a_FAILURES"/>
      <sheetName val="DTR_x005f_x000d_FAI"/>
      <sheetName val="DTR_x005f_x005f_x005f_x005f_x00"/>
      <sheetName val="DTR_x000d_FAI"/>
      <sheetName val="DTR_x005f_x005f_x00"/>
      <sheetName val="DTR_x005f_x005f_x005f_x005f_x005f_x005f_x005f_x000a_FAI"/>
      <sheetName val="BKDNS_(2)"/>
      <sheetName val="24-07-04_"/>
      <sheetName val="Profit_&amp;_Loss"/>
      <sheetName val="Profit_&amp;_Loss_july"/>
      <sheetName val="27-08-04__(2)"/>
      <sheetName val="ABST(SOUTH)_rev_08-04"/>
      <sheetName val="Ser_rel"/>
      <sheetName val="Services_released"/>
      <sheetName val="Divn_month_progress"/>
      <sheetName val="Divn_abst_"/>
      <sheetName val="Month_wise_prog_"/>
      <sheetName val="Achvt_"/>
      <sheetName val="Agl_(white_paper)"/>
      <sheetName val="Dried_up_wells"/>
      <sheetName val="SS(_2006-07)_"/>
      <sheetName val="DW2004-05_"/>
      <sheetName val="HT_abstrct"/>
      <sheetName val="HT_Add_(2)"/>
      <sheetName val="HT_details"/>
      <sheetName val="HT_Add"/>
      <sheetName val="HT_Rel"/>
      <sheetName val="LI_Sch"/>
      <sheetName val="LI_Schemes_dedi_Charged"/>
      <sheetName val="LI_1"/>
      <sheetName val="LT_Abstract"/>
      <sheetName val="LT_Town"/>
      <sheetName val="LT_Rural"/>
      <sheetName val="LT_MTM"/>
      <sheetName val="LT_GDV"/>
      <sheetName val="LT_Pending"/>
      <sheetName val="New_Agl"/>
      <sheetName val="house_holds"/>
      <sheetName val="ATC_Loss_Red"/>
      <sheetName val="DTR_FAILURES1"/>
      <sheetName val="cap_all"/>
      <sheetName val="R_Hrs__Since_Comm"/>
      <sheetName val="Executive_Summary_-Thermal"/>
      <sheetName val="Stationwise_Thermal_&amp;_Hydel_Gen"/>
      <sheetName val="Addl.40"/>
      <sheetName val="% of Elect"/>
      <sheetName val="STN WISE EMR"/>
      <sheetName val="BREAKUP OF OIL"/>
      <sheetName val="BKDNS_(2)1"/>
      <sheetName val="24-07-04_1"/>
      <sheetName val="Profit_&amp;_Loss1"/>
      <sheetName val="Profit_&amp;_Loss_july1"/>
      <sheetName val="27-08-04__(2)1"/>
      <sheetName val="ABST(SOUTH)_rev_08-041"/>
      <sheetName val="Ser_rel1"/>
      <sheetName val="Services_released1"/>
      <sheetName val="Divn_month_progress1"/>
      <sheetName val="Divn_abst_1"/>
      <sheetName val="Month_wise_prog_1"/>
      <sheetName val="Achvt_1"/>
      <sheetName val="Agl_(white_paper)1"/>
      <sheetName val="Dried_up_wells1"/>
      <sheetName val="SS(_2006-07)_1"/>
      <sheetName val="DW2004-05_1"/>
      <sheetName val="HT_abstrct1"/>
      <sheetName val="HT_Add_(2)1"/>
      <sheetName val="HT_details1"/>
      <sheetName val="HT_Add1"/>
      <sheetName val="HT_Rel1"/>
      <sheetName val="LI_Sch1"/>
      <sheetName val="LI_Schemes_dedi_Charged1"/>
      <sheetName val="LI_11"/>
      <sheetName val="LT_Abstract1"/>
      <sheetName val="LT_Town1"/>
      <sheetName val="LT_Rural1"/>
      <sheetName val="LT_MTM1"/>
      <sheetName val="LT_GDV1"/>
      <sheetName val="LT_Pending1"/>
      <sheetName val="New_Agl1"/>
      <sheetName val="house_holds1"/>
      <sheetName val="ATC_Loss_Red1"/>
      <sheetName val="DTR_FAILURES2"/>
      <sheetName val="cap_all1"/>
      <sheetName val="DTR_x005f_x005f_x005f_x000d_F Ä_x0002__x0015__x0000__x0000_"/>
      <sheetName val="DTR_x005f_x005f_x005f_x000d_F Ä_x0002__x0015_"/>
      <sheetName val="DTR_x005f_x005f_x005f_x000d_F_Ä"/>
      <sheetName val="DTR_x005f_x005f_x005f_x000d_F Ä_x0002__x0015_??"/>
      <sheetName val="DTR FAI"/>
      <sheetName val="DTR_x005f_x005f_x005f_x000a_FAI"/>
      <sheetName val="DTR_x005f_x000a_FAI"/>
      <sheetName val="DTR_x005f_x005f_x005f_x000d_F Ä_x0002__x0015___"/>
      <sheetName val="DTR_x00"/>
      <sheetName val="Part A General"/>
      <sheetName val="Fee Rate Summary"/>
      <sheetName val="SPT vs PHI"/>
      <sheetName val="01"/>
      <sheetName val="02"/>
      <sheetName val="03"/>
      <sheetName val="04"/>
      <sheetName val="final abstract"/>
      <sheetName val="HDPE"/>
      <sheetName val="DI"/>
      <sheetName val="pvc"/>
      <sheetName val="analysis"/>
      <sheetName val="DLC"/>
      <sheetName val="DTR_x005f_x005f_x005f_x005f_x005f_x005f_x005f_x000d_F "/>
      <sheetName val="DTR_x005f_x000d_F Ä_x0002__x0015_"/>
      <sheetName val="DTR_x005f_x005f_x005f_x000d_F "/>
      <sheetName val="DTR_x005f_x000d_F_Ä"/>
      <sheetName val="DTR_x005f_x000d_F Ä_x0002__x0015___"/>
      <sheetName val="DTR_x005f_x005f_x005f_x005f_x005f_x005f_x005f_x000d_F_"/>
      <sheetName val="agl-pump-sets"/>
      <sheetName val="EG"/>
      <sheetName val="pump-sets(AI)"/>
      <sheetName val="installes-capacity"/>
      <sheetName val="per-capita"/>
      <sheetName val="towns&amp;villages"/>
      <sheetName val="A2-02-03"/>
      <sheetName val="DTR_x000d_F Ä_x0002__x0015_"/>
      <sheetName val="DTR_x005f_x000d_F "/>
      <sheetName val="DTR_x000d_F_Ä"/>
      <sheetName val="DTR_x000d_F Ä_x0002__x0015___"/>
      <sheetName val="DTR_x005f_x005f_x005f_x000d_F_"/>
      <sheetName val="DTR_x000d_F "/>
      <sheetName val="DTR_x005f_x000d_F_"/>
      <sheetName val="Sept "/>
      <sheetName val="DTR_x000d_F_"/>
      <sheetName val="DTR_x005f_x005f_x005f_x000d_F Ä_x005f_x0002__x00"/>
      <sheetName val="DTR_x005f_x000d_F Ä_x005f_x0002__x005f_x0015_"/>
      <sheetName val="DTR_x005f_x000d_F Ä_x005f_x0002__x005f_x0015___"/>
      <sheetName val="DTR_x000d_F Ä_x005f_x0002__x005f_x0015_"/>
      <sheetName val="DTR_x000d_F Ä_x005f_x0002__x005f_x0015___"/>
      <sheetName val="DTR_x005f_x005f_x005f_x005f_x005f_x005f_x005f_x000d_F_2"/>
      <sheetName val="DTR_x005f_x000d_F Ä_x0002__x00"/>
      <sheetName val="DTR_x000a_FAI"/>
      <sheetName val="DTR_x005f_x000d_F Ä_x0002__x0015__x0000__x0000_"/>
      <sheetName val="DTR_x005f_x000d_F Ä_x0002__x0015_??"/>
      <sheetName val="DTR_FAI"/>
      <sheetName val="PACK (B)"/>
      <sheetName val="Cost Reco data download"/>
      <sheetName val="data"/>
      <sheetName val="PACK_(B)"/>
      <sheetName val="Cost_Reco_data_download"/>
      <sheetName val="PACK_(B)1"/>
      <sheetName val="Cost_Reco_data_download1"/>
      <sheetName val="DTR_x005f_x005f_x005f_x005f_x005f_x005f_x005f_x005f_x_2"/>
      <sheetName val="DTR_x005f_x005f_x005f_x005f_x005f_x005f_x005f_x005f_x_3"/>
      <sheetName val="DTR_x005f_x005f_x005f_x005f_x005f_x005f_x005f_x000d_F_3"/>
      <sheetName val="DTR_x005f_x005f_x005f_x005f_x005f_x005f_x005f_x005f_x_4"/>
      <sheetName val="DTR_x005f_x005f_x005f_x005f_x005f_x005f_x005f_x005f_x_5"/>
      <sheetName val="DTR_x005f_x005f_x005f_x000d_F_3"/>
      <sheetName val="DTR_x005f_x005f_x005f_x005f_x_4"/>
      <sheetName val="DTR_x005f_x005f_x005f_x005f_x_5"/>
      <sheetName val="DTR_x005f_x005f_x005f_x000d_F_2"/>
      <sheetName val="DTR_x005f_x005f_x005f_x005f_x_2"/>
      <sheetName val="DTR_x005f_x005f_x005f_x005f_x_3"/>
      <sheetName val="DTR F Ä_x0002__x0015_"/>
      <sheetName val="DTR F_Ä"/>
      <sheetName val="DTR F Ä_x0002__x0015___"/>
      <sheetName val="DTR F "/>
      <sheetName val="DTR F_"/>
      <sheetName val="DTR_x000d_F Ä_x0002__x00"/>
      <sheetName val="DTR_x000d_F Ä_x0002__x0015__x0000__x0000_"/>
      <sheetName val="DTR_x000d_F Ä_x0002__x0015_??"/>
      <sheetName val="Material"/>
      <sheetName val="Works"/>
      <sheetName val="RMR"/>
      <sheetName val="General"/>
      <sheetName val="Lead"/>
      <sheetName val="r"/>
      <sheetName val="Abs"/>
      <sheetName val="Data_culverts"/>
      <sheetName val="Design"/>
      <sheetName val="Rates"/>
      <sheetName val="hdpe_basic"/>
      <sheetName val="pvc_basic"/>
      <sheetName val="wh_data"/>
      <sheetName val="wh_data_R"/>
      <sheetName val="CPHEEO"/>
      <sheetName val="input"/>
      <sheetName val="Data base"/>
      <sheetName val="MRATES"/>
      <sheetName val="m"/>
      <sheetName val="HWEQUIV"/>
      <sheetName val="Civil-works"/>
      <sheetName val="not req 3"/>
      <sheetName val="C-data"/>
      <sheetName val="VARIABLE"/>
      <sheetName val="Costcal"/>
      <sheetName val="Labour"/>
      <sheetName val="Prjt"/>
      <sheetName val="P-Ins &amp; Bonds"/>
      <sheetName val="P-Site fac"/>
      <sheetName val="P-Clients fac"/>
      <sheetName val="Sheet73"/>
      <sheetName val="DTR_x005f_x005f_x005f_x000d_F Ä_x0002__x0015__x0000__x0000_2"/>
      <sheetName val="DTR_x005f_x000d_F Ä_x0002__x0015_2"/>
      <sheetName val="DTR_x005f_x005f_x005f_x005f_x005f_x005f_x005f_x000d_F_4"/>
      <sheetName val="DTR_x005f_x005f_x005f_x005f_x005f_x005f_x005f_x005f_x_6"/>
      <sheetName val="DTR_x005f_x005f_x005f_x005f_x005f_x005f_x005f_x005f_x_7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 A General"/>
      <sheetName val="Subsidiary Co Details"/>
      <sheetName val="MD, Dir, Co. secy"/>
      <sheetName val="Beneficial_owners"/>
      <sheetName val="Balance Sheet"/>
      <sheetName val="Profit and Loss"/>
      <sheetName val="Other Info"/>
      <sheetName val="Stock details"/>
      <sheetName val="Part B"/>
      <sheetName val="Part C"/>
      <sheetName val="Sch 1 Bus"/>
      <sheetName val="Sch 2 CG"/>
      <sheetName val="Sch 3 Depr"/>
      <sheetName val="Sch 4 HP"/>
      <sheetName val="Sch 5 OS"/>
      <sheetName val="Sch 6 Setoff"/>
      <sheetName val="Sch 7 Bf Setoff"/>
      <sheetName val="Sch 8 Cf Losses"/>
      <sheetName val="Sch 9 Dedns"/>
      <sheetName val="Sch 10 VIA-Sch 11"/>
      <sheetName val="Sch 12-Sch 13"/>
      <sheetName val="Sch 14 88E-Sch 15 115B"/>
      <sheetName val="Sch 16 Div"/>
      <sheetName val="Sch 17 FB"/>
      <sheetName val="Sch 18 Bank"/>
      <sheetName val="Sch 19, 20 Taxes"/>
      <sheetName val="Sch 21 Div Tax"/>
      <sheetName val="Sch 22, 23 FBT"/>
      <sheetName val="Sch 24 TDS"/>
      <sheetName val="Sch 25 TCS"/>
      <sheetName val="VersionI_CD_Z5_ADVANCED"/>
      <sheetName val="Salient1"/>
      <sheetName val="SUMMERY"/>
      <sheetName val="Sorted"/>
      <sheetName val="STN WISE EMR"/>
      <sheetName val="04REL"/>
      <sheetName val="Sept "/>
      <sheetName val="Energy_bal"/>
      <sheetName val="Sheet1"/>
      <sheetName val="Form_A"/>
      <sheetName val="General"/>
      <sheetName val="Data"/>
      <sheetName val="all"/>
      <sheetName val="overall"/>
      <sheetName val="Form-A"/>
      <sheetName val="Ag LF"/>
      <sheetName val="Challan"/>
      <sheetName val="Total Sec Wise for 12-2007"/>
      <sheetName val="sand"/>
      <sheetName val="stone"/>
      <sheetName val="index"/>
      <sheetName val="ssr-rates"/>
      <sheetName val="Sheet2"/>
      <sheetName val="detls"/>
      <sheetName val="1"/>
      <sheetName val="ONLINE DUMP"/>
      <sheetName val="WATER-HAMMER"/>
      <sheetName val="Executive Summary -Thermal"/>
      <sheetName val="Dom"/>
      <sheetName val="A 3.7"/>
      <sheetName val="int-Dia-pvc"/>
      <sheetName val="Demand"/>
      <sheetName val="Instruc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mization"/>
      <sheetName val="GENERAL"/>
      <sheetName val="GENERAL2"/>
      <sheetName val="SUBSIDIARY DETAILS"/>
      <sheetName val="NATUREOFBUSINESS"/>
      <sheetName val="BALANCE_SHEET"/>
      <sheetName val="PROFIT_LOSS"/>
      <sheetName val="OTHER_INFORMATION"/>
      <sheetName val="QUANTITATIVE_DETAILS"/>
      <sheetName val="PART_B"/>
      <sheetName val="PART_C"/>
      <sheetName val="HOUSE_PROPERTY"/>
      <sheetName val="BP"/>
      <sheetName val="DPM_DOA"/>
      <sheetName val="DEP_DCG"/>
      <sheetName val="ESR"/>
      <sheetName val="CG_OS"/>
      <sheetName val="CYLA BFLA"/>
      <sheetName val="CFL"/>
      <sheetName val="10A"/>
      <sheetName val="80G"/>
      <sheetName val="80_"/>
      <sheetName val="SI"/>
      <sheetName val="EI"/>
      <sheetName val="FRINGE_BENEFIT_INFO"/>
      <sheetName val="FRINGE_BENEFITS"/>
      <sheetName val="IT_TDS_TCS_FBT"/>
      <sheetName val="DDT"/>
      <sheetName val="Instructions"/>
      <sheetName val="Verification"/>
      <sheetName val="A 3.7"/>
      <sheetName val="Energy_bal"/>
      <sheetName val="Part A General"/>
      <sheetName val="Part C"/>
      <sheetName val="overall"/>
      <sheetName val="Sheet1"/>
      <sheetName val="Sept "/>
      <sheetName val="STN WISE EMR"/>
      <sheetName val="Ag LF"/>
      <sheetName val="SUBSIDIARY_DETAILS"/>
      <sheetName val="CYLA_BFLA"/>
      <sheetName val="A_3_7"/>
      <sheetName val="Part_A_General"/>
      <sheetName val="al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Wheeling Charges"/>
      <sheetName val="InputSheet"/>
      <sheetName val="Dist ARR"/>
      <sheetName val="Int on Working cap"/>
      <sheetName val="Interest cost"/>
      <sheetName val="GFA &amp; Dep-MYT 5th Control"/>
      <sheetName val="Voltage wise FA from SAP"/>
      <sheetName val="Capex Summary 5th MYT"/>
      <sheetName val="Capex Summary inputs"/>
      <sheetName val="Investment for 5th MYT"/>
      <sheetName val="True Up &amp; True Down"/>
      <sheetName val="Employee Cost"/>
      <sheetName val="RoE"/>
      <sheetName val="NTI proj"/>
      <sheetName val="Loan Portfolio"/>
      <sheetName val="Open Access"/>
      <sheetName val="Internal Discussion Notes"/>
      <sheetName val="Claim vs Approved Depreciation"/>
      <sheetName val="SP NTI"/>
      <sheetName val="New Loans 5th MYT"/>
      <sheetName val="NTI"/>
      <sheetName val="Load for Wheeling "/>
      <sheetName val="Working for O&amp;M"/>
      <sheetName val="For Wheeling"/>
      <sheetName val="Sheet3 (2)"/>
      <sheetName val="Status"/>
      <sheetName val="Existing loans Repayment &amp;Int"/>
      <sheetName val="Proposed Assets as per Invest"/>
      <sheetName val="Working for 1.1d"/>
      <sheetName val="Form 1.2"/>
      <sheetName val="Form 1.1"/>
      <sheetName val="Form 1.1j"/>
      <sheetName val="Form 1.1k"/>
      <sheetName val="Form 1.1d"/>
      <sheetName val="Form 1.1 g(i)"/>
      <sheetName val="Form 1.1a"/>
      <sheetName val="Form 1.1b"/>
      <sheetName val="Existing Loans Details"/>
      <sheetName val="Form 1.1g"/>
      <sheetName val="Form 1.1 c"/>
      <sheetName val="Form 1.1e"/>
      <sheetName val="Form 1.1n"/>
      <sheetName val="Form 1.0"/>
      <sheetName val="Form 1a"/>
      <sheetName val="Form 1c"/>
      <sheetName val="Form 1b"/>
      <sheetName val="Form 1.1h"/>
      <sheetName val="Form 1.3"/>
      <sheetName val="Form 1.3a"/>
      <sheetName val="Form 1.3(i)"/>
      <sheetName val="Form 1.3 i"/>
      <sheetName val="Form 3.3"/>
      <sheetName val="Form 7.0"/>
      <sheetName val="Form 8"/>
      <sheetName val="Form 9"/>
      <sheetName val="Form 10"/>
      <sheetName val="Sheet1"/>
      <sheetName val="Sheet2"/>
      <sheetName val="Sheet3"/>
    </sheetNames>
    <sheetDataSet>
      <sheetData sheetId="0"/>
      <sheetData sheetId="1"/>
      <sheetData sheetId="2"/>
      <sheetData sheetId="3">
        <row r="5">
          <cell r="E5">
            <v>3622.8869999999997</v>
          </cell>
        </row>
        <row r="109">
          <cell r="I109">
            <v>6086.3711559956446</v>
          </cell>
        </row>
        <row r="110">
          <cell r="I110" t="e">
            <v>#DIV/0!</v>
          </cell>
        </row>
        <row r="111">
          <cell r="I111" t="e">
            <v>#REF!</v>
          </cell>
        </row>
        <row r="112">
          <cell r="I112" t="e">
            <v>#DIV/0!</v>
          </cell>
        </row>
        <row r="113">
          <cell r="I113">
            <v>0</v>
          </cell>
        </row>
        <row r="124">
          <cell r="I124">
            <v>0</v>
          </cell>
        </row>
        <row r="125">
          <cell r="I125">
            <v>153.60794782560001</v>
          </cell>
        </row>
      </sheetData>
      <sheetData sheetId="4">
        <row r="65">
          <cell r="E65">
            <v>301.90724999999998</v>
          </cell>
        </row>
      </sheetData>
      <sheetData sheetId="5">
        <row r="5">
          <cell r="E5">
            <v>5546.3075263814935</v>
          </cell>
        </row>
      </sheetData>
      <sheetData sheetId="6">
        <row r="4">
          <cell r="F4">
            <v>4233.460671870208</v>
          </cell>
          <cell r="G4">
            <v>5706.1834717897373</v>
          </cell>
        </row>
        <row r="5">
          <cell r="F5">
            <v>7538.2192954944421</v>
          </cell>
          <cell r="G5">
            <v>8966.4214181002753</v>
          </cell>
        </row>
        <row r="6">
          <cell r="F6">
            <v>14164.489846390199</v>
          </cell>
          <cell r="G6">
            <v>15604.325243374225</v>
          </cell>
        </row>
      </sheetData>
      <sheetData sheetId="7"/>
      <sheetData sheetId="8"/>
      <sheetData sheetId="9"/>
      <sheetData sheetId="10"/>
      <sheetData sheetId="11"/>
      <sheetData sheetId="12">
        <row r="9">
          <cell r="D9">
            <v>1944.6499999999999</v>
          </cell>
        </row>
      </sheetData>
      <sheetData sheetId="13">
        <row r="4">
          <cell r="E4">
            <v>1848.769175460498</v>
          </cell>
        </row>
      </sheetData>
      <sheetData sheetId="14">
        <row r="6">
          <cell r="K6">
            <v>98.96</v>
          </cell>
        </row>
        <row r="26">
          <cell r="L26">
            <v>144.7482</v>
          </cell>
          <cell r="M26">
            <v>147.64316400000001</v>
          </cell>
        </row>
      </sheetData>
      <sheetData sheetId="15">
        <row r="10">
          <cell r="G10">
            <v>6836.0349915999996</v>
          </cell>
        </row>
        <row r="16">
          <cell r="G16">
            <v>16374.216734999996</v>
          </cell>
          <cell r="J16">
            <v>1815.2749999999999</v>
          </cell>
          <cell r="K16">
            <v>21438.6698798</v>
          </cell>
          <cell r="N16">
            <v>2870.5650000000001</v>
          </cell>
          <cell r="O16">
            <v>30961.715642999996</v>
          </cell>
          <cell r="Q16">
            <v>2830.2349999999997</v>
          </cell>
          <cell r="R16">
            <v>25793.252928999998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-25 Voltage wise"/>
      <sheetName val="2024-25 Voltage wise (Rs. Cr.)"/>
      <sheetName val="2025-26 Voltage wise"/>
      <sheetName val="2025-26 Voltage wise (Rs. Cr.)"/>
      <sheetName val="2026-27 Voltage wise"/>
      <sheetName val="2026-27 Voltage wise (Rs. C (2)"/>
      <sheetName val="16.1 Capitalisation"/>
    </sheetNames>
    <sheetDataSet>
      <sheetData sheetId="0"/>
      <sheetData sheetId="1">
        <row r="35">
          <cell r="F35">
            <v>22195.997087533</v>
          </cell>
          <cell r="K35">
            <v>11252.690385690998</v>
          </cell>
        </row>
      </sheetData>
      <sheetData sheetId="2"/>
      <sheetData sheetId="3">
        <row r="35">
          <cell r="G35">
            <v>1995.6232212411348</v>
          </cell>
          <cell r="H35">
            <v>7.5418313502857144</v>
          </cell>
          <cell r="J35">
            <v>25936.169813754852</v>
          </cell>
          <cell r="O35">
            <v>12973.448204399243</v>
          </cell>
        </row>
      </sheetData>
      <sheetData sheetId="4"/>
      <sheetData sheetId="5">
        <row r="4">
          <cell r="G4">
            <v>4.2499894186813499E-2</v>
          </cell>
        </row>
        <row r="35">
          <cell r="J35">
            <v>31865.591634327957</v>
          </cell>
          <cell r="O35">
            <v>14122.19462526707</v>
          </cell>
        </row>
      </sheetData>
      <sheetData sheetId="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 to Accounts"/>
      <sheetName val="Line Items"/>
      <sheetName val="COA Templet"/>
      <sheetName val="Report"/>
      <sheetName val="Data Validation"/>
      <sheetName val="BS"/>
      <sheetName val="P &amp; L"/>
      <sheetName val="Cash Flow"/>
      <sheetName val="Main Notes"/>
      <sheetName val="Ratios Workings"/>
      <sheetName val="Note 04 e. FRP Bonds"/>
      <sheetName val="Note 4.f Secured loans (LT)"/>
      <sheetName val="Note 7(3)(f) Secured loans (ST)"/>
      <sheetName val="8.f. Trade Payable Ageing"/>
      <sheetName val="Note 11 Fixed Assests "/>
      <sheetName val="11 a. Ageing of CWIP"/>
      <sheetName val="Note 12 Non Current Investments"/>
      <sheetName val="17 Ageing of Trade Receivables"/>
      <sheetName val="31. Ratios"/>
      <sheetName val="29. KMP"/>
      <sheetName val="TP SUMMARY"/>
      <sheetName val="DTA DISCLOSURE SHEET"/>
      <sheetName val="DTA DTL Calculation"/>
      <sheetName val="JE"/>
      <sheetName val="MSME VENDORS"/>
      <sheetName val="UNABSORBED DEP"/>
      <sheetName val="40"/>
      <sheetName val="41.xi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82">
          <cell r="D482">
            <v>5810.56</v>
          </cell>
        </row>
      </sheetData>
      <sheetData sheetId="9"/>
      <sheetData sheetId="10"/>
      <sheetData sheetId="11"/>
      <sheetData sheetId="12"/>
      <sheetData sheetId="13"/>
      <sheetData sheetId="14">
        <row r="18">
          <cell r="I18">
            <v>23877.720000000005</v>
          </cell>
        </row>
        <row r="21">
          <cell r="I21">
            <v>70.8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Wheeling Charges"/>
      <sheetName val="InputSheet"/>
      <sheetName val="Dist ARR"/>
      <sheetName val="Int on Working cap"/>
      <sheetName val="Interest cost"/>
      <sheetName val="GFA &amp; Dep-MYT 5th Control"/>
      <sheetName val="Voltage wise FA from SAP"/>
      <sheetName val="Capex Summary 5th MYT"/>
      <sheetName val="Capex Summary inputs"/>
      <sheetName val="Investment for 5th MYT"/>
      <sheetName val="True Up &amp; True Down"/>
      <sheetName val="Employee Cost"/>
      <sheetName val="RoE"/>
      <sheetName val="NTI proj"/>
      <sheetName val="Loan Portfolio"/>
      <sheetName val="Open Access"/>
      <sheetName val="Internal Discussion Notes"/>
      <sheetName val="Claim vs Approved Depreciation"/>
      <sheetName val="SP NTI"/>
      <sheetName val="New Loans 5th MYT"/>
      <sheetName val="NTI"/>
      <sheetName val="Load for Wheeling "/>
      <sheetName val="Working for O&amp;M"/>
      <sheetName val="For Wheeling"/>
      <sheetName val="Sheet3 (2)"/>
      <sheetName val="Status"/>
      <sheetName val="Existing loans Repayment &amp;Int"/>
      <sheetName val="Proposed Assets as per Invest"/>
      <sheetName val="Working for 1.1d"/>
      <sheetName val="Form 1.2"/>
      <sheetName val="Form 1.1"/>
      <sheetName val="Form 1.1j"/>
      <sheetName val="Form 1.1k"/>
      <sheetName val="Form 1.1d"/>
      <sheetName val="Form 1.1 g(i)"/>
      <sheetName val="Form 1.1a"/>
      <sheetName val="Form 1.1b"/>
      <sheetName val="Existing Loans Details"/>
      <sheetName val="Form 1.1g"/>
      <sheetName val="Form 1.1 c"/>
      <sheetName val="Form 1.1e"/>
      <sheetName val="Form 1.1n"/>
      <sheetName val="Form 1.0"/>
      <sheetName val="Form 1a"/>
      <sheetName val="Form 1c"/>
      <sheetName val="Form 1b"/>
      <sheetName val="Form 1.1h"/>
      <sheetName val="Form 1.3"/>
      <sheetName val="Form 1.3a"/>
      <sheetName val="Form 1.3(i)"/>
      <sheetName val="Form 1.3 i"/>
      <sheetName val="Form 3.3"/>
      <sheetName val="Form 7.0"/>
      <sheetName val="Form 8"/>
      <sheetName val="Form 9"/>
      <sheetName val="Form 10"/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  <sheetData sheetId="3">
        <row r="15">
          <cell r="G15">
            <v>5981.912905409954</v>
          </cell>
        </row>
      </sheetData>
      <sheetData sheetId="4" refreshError="1"/>
      <sheetData sheetId="5" refreshError="1"/>
      <sheetData sheetId="6">
        <row r="3">
          <cell r="D3">
            <v>22195.997087532989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3">
          <cell r="H23">
            <v>10503.416292021167</v>
          </cell>
        </row>
        <row r="26">
          <cell r="H26">
            <v>5202.6770331321959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O&amp;M Expenses"/>
      <sheetName val="RoE"/>
      <sheetName val="Interest and finance charges "/>
      <sheetName val="Interest on Working Capital"/>
      <sheetName val="CPI-WPI"/>
      <sheetName val="Actual Loans"/>
      <sheetName val="Fixed Assets"/>
      <sheetName val="Dep. Schedule"/>
      <sheetName val="SP_Wheeling"/>
      <sheetName val="Sheet1"/>
      <sheetName val="2024-25"/>
      <sheetName val="2024-25 Voltage wise"/>
      <sheetName val="2024-25 Voltage wise (2)"/>
      <sheetName val="2025-26 Voltage wise"/>
      <sheetName val="2026-27 Voltage wise"/>
    </sheetNames>
    <sheetDataSet>
      <sheetData sheetId="0"/>
      <sheetData sheetId="1"/>
      <sheetData sheetId="2">
        <row r="35">
          <cell r="E35">
            <v>12062.014592825355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Fully Depreciated Assets"/>
      <sheetName val="Fully Depreciated Assets (CC)"/>
    </sheetNames>
    <sheetDataSet>
      <sheetData sheetId="0"/>
      <sheetData sheetId="1">
        <row r="5">
          <cell r="D5">
            <v>1.1289154031307316</v>
          </cell>
        </row>
        <row r="27">
          <cell r="B27">
            <v>562.0679828361632</v>
          </cell>
          <cell r="C27">
            <v>590.81709766027063</v>
          </cell>
          <cell r="D27">
            <v>675.96177716099021</v>
          </cell>
        </row>
      </sheetData>
      <sheetData sheetId="2">
        <row r="27">
          <cell r="B27">
            <v>14.345568620700035</v>
          </cell>
          <cell r="C27">
            <v>19.818591694100036</v>
          </cell>
          <cell r="D27">
            <v>22.707848261600052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P Statement"/>
      <sheetName val="EBV Statement"/>
    </sheetNames>
    <sheetDataSet>
      <sheetData sheetId="0"/>
      <sheetData sheetId="1">
        <row r="24">
          <cell r="G24">
            <v>20.769406539299958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Wheeling Charges"/>
      <sheetName val="InputSheet"/>
      <sheetName val="Dist ARR"/>
      <sheetName val="Int on Working cap"/>
      <sheetName val="Interest cost"/>
      <sheetName val="GFA &amp; Dep-MYT 5th Control"/>
      <sheetName val="Capex Summary 5th MYT"/>
      <sheetName val="Capex Summary inputs"/>
      <sheetName val="Investment for 5th MYT"/>
      <sheetName val="True Up &amp; True Down"/>
      <sheetName val="Employee Cost"/>
      <sheetName val="Voltage wise FA from SAP"/>
      <sheetName val="RoE"/>
      <sheetName val="NTI proj"/>
      <sheetName val="Loan Portfolio"/>
      <sheetName val="Open Access"/>
      <sheetName val="Internal Discussion Notes"/>
      <sheetName val="Claim vs Approved Depreciation"/>
      <sheetName val="Base Capex"/>
      <sheetName val="SP NTI"/>
      <sheetName val="New Loans 5th MYT"/>
      <sheetName val="NTI"/>
      <sheetName val="Load for Wheeling "/>
      <sheetName val="Working for O&amp;M"/>
      <sheetName val="For Wheeling"/>
      <sheetName val="Sheet3 (2)"/>
      <sheetName val="Status"/>
      <sheetName val="Existing loans Repayment &amp;Int"/>
      <sheetName val="Proposed Assets as per Invest"/>
      <sheetName val="Working for 1.1d"/>
      <sheetName val="Form 1.2"/>
      <sheetName val="Form 1.1"/>
      <sheetName val="Form 1.1j"/>
      <sheetName val="Form 1.1k"/>
      <sheetName val="Form 1.1d"/>
      <sheetName val="Form 1.1 g(i)"/>
      <sheetName val="Form 1.1a"/>
      <sheetName val="Form 1.1b"/>
      <sheetName val="Existing Loans Details"/>
      <sheetName val="Form 1.1g"/>
      <sheetName val="Form 1.1 c"/>
      <sheetName val="Form 1.1e"/>
      <sheetName val="Form 1.1n"/>
      <sheetName val="Form 1.0"/>
      <sheetName val="Form 1a"/>
      <sheetName val="Form 1c"/>
      <sheetName val="Form 1b"/>
      <sheetName val="Form 1.1h"/>
      <sheetName val="Form 1.3"/>
      <sheetName val="Form 1.3a"/>
      <sheetName val="Form 1.3(i)"/>
      <sheetName val="Form 1.3 i"/>
      <sheetName val="Form 3.3"/>
      <sheetName val="Form 7.0"/>
      <sheetName val="Form 8"/>
      <sheetName val="Form 9"/>
      <sheetName val="Form 10"/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27">
          <cell r="C27">
            <v>540.61447539399865</v>
          </cell>
          <cell r="D27">
            <v>595.29796828899862</v>
          </cell>
          <cell r="E27">
            <v>636.32786436589856</v>
          </cell>
          <cell r="F27">
            <v>686.85783586499861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Genco(thml)"/>
      <sheetName val="APGenco(hyd)"/>
      <sheetName val="0000000000000"/>
      <sheetName val="Input"/>
      <sheetName val="ARR Main Interface"/>
      <sheetName val="Pref"/>
      <sheetName val="Unutilised CY"/>
      <sheetName val="Unutilised EY"/>
      <sheetName val="APGENCO"/>
      <sheetName val="APGPCL "/>
      <sheetName val="SEB"/>
      <sheetName val="IPP "/>
      <sheetName val="CPP"/>
      <sheetName val="H1 2001-02 Form 1.3a"/>
      <sheetName val="H2 2001-02 Form 1.3a"/>
      <sheetName val="2001-02 Form 1.3a"/>
      <sheetName val="APgenco-hyd02"/>
      <sheetName val="Ferro Adj"/>
      <sheetName val="APGenco(thml) Asum"/>
      <sheetName val="APGenco(hyd) Asum"/>
      <sheetName val="CGS Asum"/>
      <sheetName val="CGS Proj"/>
      <sheetName val="Cons Data"/>
      <sheetName val="SEB Asum"/>
      <sheetName val="APGPCL Asum"/>
      <sheetName val="IPP Asum"/>
      <sheetName val="CPP Asum"/>
      <sheetName val="APGENCO Proj"/>
      <sheetName val="CGS "/>
      <sheetName val="CGS-Pattern"/>
      <sheetName val="CPP Proj"/>
      <sheetName val="SEB Proj"/>
      <sheetName val="APGPCL Proj"/>
      <sheetName val="IPP Proj"/>
      <sheetName val="MO CY"/>
      <sheetName val="MO EY"/>
      <sheetName val="H1 2002-03 Form 1.3a"/>
      <sheetName val="PP Analysis"/>
      <sheetName val="PP Variance"/>
      <sheetName val="1.3a 2001-02"/>
      <sheetName val="1.3aH1 2002-03"/>
      <sheetName val="Sheet1"/>
      <sheetName val="1.3a Full Year PY"/>
      <sheetName val="1.3a H1 CY"/>
      <sheetName val="1.3a H2 CY"/>
      <sheetName val="1.3a Full Year CY"/>
      <sheetName val="H1 2003-04 Form 1.3a"/>
      <sheetName val="H2 2003-04 Form 1.3a"/>
      <sheetName val="1.3a Full Year EY"/>
      <sheetName val="Avai- CY"/>
      <sheetName val="Avai- EY"/>
      <sheetName val="Monthly Dispatch"/>
      <sheetName val="Monthly Dispatch (2)"/>
      <sheetName val="Demand vs Availability"/>
      <sheetName val="Key PP Fig"/>
      <sheetName val="2-part illustration"/>
      <sheetName val="Monthwise Units H1 CY "/>
      <sheetName val="Assumptions"/>
      <sheetName val="1.3a CY"/>
      <sheetName val="Executive Summary -Thermal"/>
      <sheetName val="STN WISE EMR"/>
      <sheetName val="Salient1"/>
      <sheetName val="Cat_Ser_load"/>
      <sheetName val="04REL"/>
      <sheetName val="R_Abstract"/>
      <sheetName val="installes-capacity"/>
      <sheetName val="BREAKUP OF OIL"/>
      <sheetName val="A 3.7"/>
      <sheetName val="ARR_Main_Interface"/>
      <sheetName val="Unutilised_CY"/>
      <sheetName val="Unutilised_EY"/>
      <sheetName val="APGPCL_"/>
      <sheetName val="IPP_"/>
      <sheetName val="H1_2001-02_Form_1_3a"/>
      <sheetName val="H2_2001-02_Form_1_3a"/>
      <sheetName val="2001-02_Form_1_3a"/>
      <sheetName val="Ferro_Adj"/>
      <sheetName val="APGenco(thml)_Asum"/>
      <sheetName val="APGenco(hyd)_Asum"/>
      <sheetName val="CGS_Asum"/>
      <sheetName val="CGS_Proj"/>
      <sheetName val="Cons_Data"/>
      <sheetName val="SEB_Asum"/>
      <sheetName val="APGPCL_Asum"/>
      <sheetName val="IPP_Asum"/>
      <sheetName val="CPP_Asum"/>
      <sheetName val="APGENCO_Proj"/>
      <sheetName val="CGS_"/>
      <sheetName val="CPP_Proj"/>
      <sheetName val="SEB_Proj"/>
      <sheetName val="APGPCL_Proj"/>
      <sheetName val="IPP_Proj"/>
      <sheetName val="MO_CY"/>
      <sheetName val="MO_EY"/>
      <sheetName val="H1_2002-03_Form_1_3a"/>
      <sheetName val="PP_Analysis"/>
      <sheetName val="PP_Variance"/>
      <sheetName val="1_3a_2001-02"/>
      <sheetName val="1_3aH1_2002-03"/>
      <sheetName val="1_3a_Full_Year_PY"/>
      <sheetName val="1_3a_H1_CY"/>
      <sheetName val="1_3a_H2_CY"/>
      <sheetName val="1_3a_Full_Year_CY"/>
      <sheetName val="H1_2003-04_Form_1_3a"/>
      <sheetName val="H2_2003-04_Form_1_3a"/>
      <sheetName val="1_3a_Full_Year_EY"/>
      <sheetName val="Avai-_CY"/>
      <sheetName val="Avai-_EY"/>
      <sheetName val="Monthly_Dispatch"/>
      <sheetName val="Monthly_Dispatch_(2)"/>
      <sheetName val="Demand_vs_Availability"/>
      <sheetName val="Key_PP_Fig"/>
      <sheetName val="2-part_illustration"/>
      <sheetName val="Monthwise_Units_H1_CY_"/>
      <sheetName val="1_3a_CY"/>
      <sheetName val="Executive_Summary_-Thermal"/>
      <sheetName val="STN_WISE_EMR"/>
      <sheetName val="BREAKUP_OF_OIL"/>
      <sheetName val="A_3_7"/>
      <sheetName val="Sept "/>
      <sheetName val="agl-pump-sets"/>
      <sheetName val="EG"/>
      <sheetName val="pump-sets(AI)"/>
      <sheetName val="per-capita"/>
      <sheetName val="towns&amp;villages"/>
      <sheetName val="SUMME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11">
          <cell r="A11" t="str">
            <v>Wheeling</v>
          </cell>
          <cell r="B11">
            <v>1</v>
          </cell>
          <cell r="C11">
            <v>0</v>
          </cell>
          <cell r="E11">
            <v>0</v>
          </cell>
          <cell r="F11">
            <v>0</v>
          </cell>
          <cell r="H11" t="str">
            <v>Wheeling</v>
          </cell>
          <cell r="I11">
            <v>1</v>
          </cell>
          <cell r="J11">
            <v>0</v>
          </cell>
          <cell r="L11">
            <v>0</v>
          </cell>
          <cell r="M11">
            <v>0</v>
          </cell>
          <cell r="O11" t="str">
            <v>Wheeling</v>
          </cell>
          <cell r="P11">
            <v>1</v>
          </cell>
          <cell r="Q11">
            <v>0</v>
          </cell>
          <cell r="S11">
            <v>0</v>
          </cell>
          <cell r="T11">
            <v>0</v>
          </cell>
          <cell r="V11" t="str">
            <v>APGPCL Station II</v>
          </cell>
          <cell r="W11">
            <v>1</v>
          </cell>
          <cell r="X11">
            <v>0.97</v>
          </cell>
          <cell r="Y11">
            <v>29</v>
          </cell>
          <cell r="Z11">
            <v>29</v>
          </cell>
          <cell r="AA11">
            <v>29</v>
          </cell>
          <cell r="AC11" t="str">
            <v>APGPCL Station II</v>
          </cell>
          <cell r="AD11">
            <v>1</v>
          </cell>
          <cell r="AE11">
            <v>0.97</v>
          </cell>
          <cell r="AF11">
            <v>27.25</v>
          </cell>
          <cell r="AG11">
            <v>27.25</v>
          </cell>
          <cell r="AH11">
            <v>27.25</v>
          </cell>
          <cell r="AJ11" t="str">
            <v>APGPCL Station II</v>
          </cell>
          <cell r="AK11">
            <v>1</v>
          </cell>
          <cell r="AL11">
            <v>0.97</v>
          </cell>
          <cell r="AM11">
            <v>29</v>
          </cell>
          <cell r="AN11">
            <v>29</v>
          </cell>
          <cell r="AO11">
            <v>29</v>
          </cell>
        </row>
        <row r="12">
          <cell r="A12" t="str">
            <v>APGPCL Station II</v>
          </cell>
          <cell r="B12">
            <v>1</v>
          </cell>
          <cell r="C12">
            <v>0.97</v>
          </cell>
          <cell r="D12">
            <v>22.5</v>
          </cell>
          <cell r="E12">
            <v>22.5</v>
          </cell>
          <cell r="F12">
            <v>22.5</v>
          </cell>
          <cell r="H12" t="str">
            <v>APGPCL Station II</v>
          </cell>
          <cell r="I12">
            <v>1</v>
          </cell>
          <cell r="J12">
            <v>0.97</v>
          </cell>
          <cell r="K12">
            <v>28.25</v>
          </cell>
          <cell r="L12">
            <v>28.25</v>
          </cell>
          <cell r="M12">
            <v>28.25</v>
          </cell>
          <cell r="O12" t="str">
            <v>APGPCL Station II</v>
          </cell>
          <cell r="P12">
            <v>1</v>
          </cell>
          <cell r="Q12">
            <v>0.97</v>
          </cell>
          <cell r="R12">
            <v>29</v>
          </cell>
          <cell r="S12">
            <v>29</v>
          </cell>
          <cell r="T12">
            <v>29</v>
          </cell>
          <cell r="V12" t="str">
            <v>APGPCL Station I</v>
          </cell>
          <cell r="W12">
            <v>1</v>
          </cell>
          <cell r="X12">
            <v>1.39</v>
          </cell>
          <cell r="Y12">
            <v>9.3000000000000007</v>
          </cell>
          <cell r="Z12">
            <v>38.299999999999997</v>
          </cell>
          <cell r="AA12">
            <v>9.3000000000000007</v>
          </cell>
          <cell r="AC12" t="str">
            <v>APGPCL Station I</v>
          </cell>
          <cell r="AD12">
            <v>1</v>
          </cell>
          <cell r="AE12">
            <v>1.39</v>
          </cell>
          <cell r="AF12">
            <v>4.3499999999999996</v>
          </cell>
          <cell r="AG12">
            <v>31.6</v>
          </cell>
          <cell r="AH12">
            <v>4.3499999999999996</v>
          </cell>
          <cell r="AJ12" t="str">
            <v>APGPCL Station I</v>
          </cell>
          <cell r="AK12">
            <v>1</v>
          </cell>
          <cell r="AL12">
            <v>1.39</v>
          </cell>
          <cell r="AM12">
            <v>9.15</v>
          </cell>
          <cell r="AN12">
            <v>38.15</v>
          </cell>
          <cell r="AO12">
            <v>9.15</v>
          </cell>
        </row>
        <row r="13">
          <cell r="A13" t="str">
            <v>APGPCL Station I</v>
          </cell>
          <cell r="B13">
            <v>1</v>
          </cell>
          <cell r="C13">
            <v>1.39</v>
          </cell>
          <cell r="D13">
            <v>9.3000000000000007</v>
          </cell>
          <cell r="E13">
            <v>31.8</v>
          </cell>
          <cell r="F13">
            <v>9.3000000000000007</v>
          </cell>
          <cell r="H13" t="str">
            <v>APGPCL Station I</v>
          </cell>
          <cell r="I13">
            <v>1</v>
          </cell>
          <cell r="J13">
            <v>1.39</v>
          </cell>
          <cell r="K13">
            <v>6.9</v>
          </cell>
          <cell r="L13">
            <v>35.15</v>
          </cell>
          <cell r="M13">
            <v>6.9</v>
          </cell>
          <cell r="O13" t="str">
            <v>APGPCL Station I</v>
          </cell>
          <cell r="P13">
            <v>1</v>
          </cell>
          <cell r="Q13">
            <v>1.39</v>
          </cell>
          <cell r="R13">
            <v>8.25</v>
          </cell>
          <cell r="S13">
            <v>37.25</v>
          </cell>
          <cell r="T13">
            <v>8.25</v>
          </cell>
          <cell r="V13" t="str">
            <v>NPC-MAPS</v>
          </cell>
          <cell r="W13">
            <v>1</v>
          </cell>
          <cell r="X13">
            <v>2.2789520205623948</v>
          </cell>
          <cell r="Y13">
            <v>9</v>
          </cell>
          <cell r="Z13">
            <v>47.3</v>
          </cell>
          <cell r="AA13">
            <v>9</v>
          </cell>
          <cell r="AC13" t="str">
            <v>NPC-MAPS</v>
          </cell>
          <cell r="AD13">
            <v>1</v>
          </cell>
          <cell r="AE13">
            <v>2.2789520205623948</v>
          </cell>
          <cell r="AF13">
            <v>9</v>
          </cell>
          <cell r="AG13">
            <v>40.6</v>
          </cell>
          <cell r="AH13">
            <v>9</v>
          </cell>
          <cell r="AJ13" t="str">
            <v>NPC-MAPS</v>
          </cell>
          <cell r="AK13">
            <v>1</v>
          </cell>
          <cell r="AL13">
            <v>2.2789520205623948</v>
          </cell>
          <cell r="AM13">
            <v>9</v>
          </cell>
          <cell r="AN13">
            <v>47.15</v>
          </cell>
          <cell r="AO13">
            <v>9</v>
          </cell>
        </row>
        <row r="14">
          <cell r="A14" t="str">
            <v>NPC-MAPS</v>
          </cell>
          <cell r="B14">
            <v>1</v>
          </cell>
          <cell r="C14">
            <v>2.2789520205623948</v>
          </cell>
          <cell r="D14">
            <v>10.5</v>
          </cell>
          <cell r="E14">
            <v>42.3</v>
          </cell>
          <cell r="F14">
            <v>10.5</v>
          </cell>
          <cell r="H14" t="str">
            <v>NPC-MAPS</v>
          </cell>
          <cell r="I14">
            <v>1</v>
          </cell>
          <cell r="J14">
            <v>2.2789520205623948</v>
          </cell>
          <cell r="K14">
            <v>9</v>
          </cell>
          <cell r="L14">
            <v>44.15</v>
          </cell>
          <cell r="M14">
            <v>9</v>
          </cell>
          <cell r="O14" t="str">
            <v>NPC-MAPS</v>
          </cell>
          <cell r="P14">
            <v>1</v>
          </cell>
          <cell r="Q14">
            <v>2.2789520205623948</v>
          </cell>
          <cell r="R14">
            <v>9</v>
          </cell>
          <cell r="S14">
            <v>46.25</v>
          </cell>
          <cell r="T14">
            <v>9</v>
          </cell>
          <cell r="V14" t="str">
            <v>Non Conventional</v>
          </cell>
          <cell r="W14">
            <v>1</v>
          </cell>
          <cell r="X14">
            <v>3.48</v>
          </cell>
          <cell r="Y14">
            <v>120.46</v>
          </cell>
          <cell r="Z14">
            <v>167.76</v>
          </cell>
          <cell r="AA14">
            <v>120.46</v>
          </cell>
          <cell r="AC14" t="str">
            <v>Non Conventional</v>
          </cell>
          <cell r="AD14">
            <v>1</v>
          </cell>
          <cell r="AE14">
            <v>3.48</v>
          </cell>
          <cell r="AF14">
            <v>122.22</v>
          </cell>
          <cell r="AG14">
            <v>162.82</v>
          </cell>
          <cell r="AH14">
            <v>122.22</v>
          </cell>
          <cell r="AJ14" t="str">
            <v>Non Conventional</v>
          </cell>
          <cell r="AK14">
            <v>1</v>
          </cell>
          <cell r="AL14">
            <v>3.48</v>
          </cell>
          <cell r="AM14">
            <v>118.3</v>
          </cell>
          <cell r="AN14">
            <v>165.45</v>
          </cell>
          <cell r="AO14">
            <v>118.3</v>
          </cell>
        </row>
        <row r="15">
          <cell r="A15" t="str">
            <v>Non Conventional</v>
          </cell>
          <cell r="B15">
            <v>1</v>
          </cell>
          <cell r="C15">
            <v>3.48</v>
          </cell>
          <cell r="D15">
            <v>103.09</v>
          </cell>
          <cell r="E15">
            <v>145.38999999999999</v>
          </cell>
          <cell r="F15">
            <v>103.09</v>
          </cell>
          <cell r="H15" t="str">
            <v>Non Conventional</v>
          </cell>
          <cell r="I15">
            <v>1</v>
          </cell>
          <cell r="J15">
            <v>3.48</v>
          </cell>
          <cell r="K15">
            <v>117.41</v>
          </cell>
          <cell r="L15">
            <v>161.56</v>
          </cell>
          <cell r="M15">
            <v>117.41</v>
          </cell>
          <cell r="O15" t="str">
            <v>Non Conventional</v>
          </cell>
          <cell r="P15">
            <v>1</v>
          </cell>
          <cell r="Q15">
            <v>3.48</v>
          </cell>
          <cell r="R15">
            <v>117.58</v>
          </cell>
          <cell r="S15">
            <v>163.82999999999998</v>
          </cell>
          <cell r="T15">
            <v>117.58</v>
          </cell>
          <cell r="V15" t="str">
            <v>APGenco Hydel</v>
          </cell>
          <cell r="W15">
            <v>2</v>
          </cell>
          <cell r="X15">
            <v>0</v>
          </cell>
          <cell r="Y15">
            <v>346.32441726618697</v>
          </cell>
          <cell r="Z15">
            <v>514.08441726618696</v>
          </cell>
          <cell r="AA15">
            <v>346.32441726618697</v>
          </cell>
          <cell r="AC15" t="str">
            <v>APGenco Hydel</v>
          </cell>
          <cell r="AD15">
            <v>2</v>
          </cell>
          <cell r="AE15">
            <v>0</v>
          </cell>
          <cell r="AF15">
            <v>327.81853237410058</v>
          </cell>
          <cell r="AG15">
            <v>490.63853237410058</v>
          </cell>
          <cell r="AH15">
            <v>327.81853237410058</v>
          </cell>
          <cell r="AJ15" t="str">
            <v>APGenco Hydel</v>
          </cell>
          <cell r="AK15">
            <v>2</v>
          </cell>
          <cell r="AL15">
            <v>0</v>
          </cell>
          <cell r="AM15">
            <v>336.63085851318931</v>
          </cell>
          <cell r="AN15">
            <v>502.0808585131893</v>
          </cell>
          <cell r="AO15">
            <v>336.63085851318931</v>
          </cell>
        </row>
        <row r="16">
          <cell r="A16" t="str">
            <v>APGenco Hydel</v>
          </cell>
          <cell r="B16">
            <v>2</v>
          </cell>
          <cell r="C16">
            <v>0</v>
          </cell>
          <cell r="D16">
            <v>292</v>
          </cell>
          <cell r="E16">
            <v>437.39</v>
          </cell>
          <cell r="F16">
            <v>292</v>
          </cell>
          <cell r="H16" t="str">
            <v>APGenco Hydel</v>
          </cell>
          <cell r="I16">
            <v>2</v>
          </cell>
          <cell r="J16">
            <v>0</v>
          </cell>
          <cell r="K16">
            <v>415.06056115107907</v>
          </cell>
          <cell r="L16">
            <v>576.62056115107907</v>
          </cell>
          <cell r="M16">
            <v>415.06056115107907</v>
          </cell>
          <cell r="O16" t="str">
            <v>APGenco Hydel</v>
          </cell>
          <cell r="P16">
            <v>2</v>
          </cell>
          <cell r="Q16">
            <v>0</v>
          </cell>
          <cell r="R16">
            <v>411.5356306954435</v>
          </cell>
          <cell r="S16">
            <v>575.36563069544354</v>
          </cell>
          <cell r="T16">
            <v>411.5356306954435</v>
          </cell>
          <cell r="V16" t="str">
            <v>Wheeling</v>
          </cell>
          <cell r="W16">
            <v>2</v>
          </cell>
          <cell r="X16">
            <v>0</v>
          </cell>
          <cell r="Z16">
            <v>514.08441726618696</v>
          </cell>
          <cell r="AA16">
            <v>0</v>
          </cell>
          <cell r="AC16" t="str">
            <v>Wheeling</v>
          </cell>
          <cell r="AD16">
            <v>2</v>
          </cell>
          <cell r="AE16">
            <v>0</v>
          </cell>
          <cell r="AG16">
            <v>490.63853237410058</v>
          </cell>
          <cell r="AH16">
            <v>0</v>
          </cell>
          <cell r="AJ16" t="str">
            <v>Wheeling</v>
          </cell>
          <cell r="AK16">
            <v>2</v>
          </cell>
          <cell r="AL16">
            <v>0</v>
          </cell>
          <cell r="AN16">
            <v>502.0808585131893</v>
          </cell>
          <cell r="AO16">
            <v>0</v>
          </cell>
        </row>
        <row r="17">
          <cell r="A17" t="str">
            <v>Talcher Stage 1</v>
          </cell>
          <cell r="B17">
            <v>2</v>
          </cell>
          <cell r="C17">
            <v>0.49912127794189243</v>
          </cell>
          <cell r="D17">
            <v>4.6500000000000004</v>
          </cell>
          <cell r="E17">
            <v>442.03999999999996</v>
          </cell>
          <cell r="F17">
            <v>4.6500000000000004</v>
          </cell>
          <cell r="H17" t="str">
            <v>Talcher Stage 1</v>
          </cell>
          <cell r="I17">
            <v>2</v>
          </cell>
          <cell r="J17">
            <v>0.49912127794189243</v>
          </cell>
          <cell r="K17">
            <v>4.5</v>
          </cell>
          <cell r="L17">
            <v>581.12056115107907</v>
          </cell>
          <cell r="M17">
            <v>4.5</v>
          </cell>
          <cell r="O17" t="str">
            <v>Talcher Stage 1</v>
          </cell>
          <cell r="P17">
            <v>2</v>
          </cell>
          <cell r="Q17">
            <v>0.49912127794189243</v>
          </cell>
          <cell r="R17">
            <v>4.6500000000000004</v>
          </cell>
          <cell r="S17">
            <v>580.01563069544352</v>
          </cell>
          <cell r="T17">
            <v>4.6500000000000004</v>
          </cell>
          <cell r="V17" t="str">
            <v>Talcher Stage 1</v>
          </cell>
          <cell r="W17">
            <v>2</v>
          </cell>
          <cell r="X17">
            <v>0.49912127794189243</v>
          </cell>
          <cell r="Y17">
            <v>4.6500000000000004</v>
          </cell>
          <cell r="Z17">
            <v>518.73441726618694</v>
          </cell>
          <cell r="AA17">
            <v>4.6500000000000004</v>
          </cell>
          <cell r="AC17" t="str">
            <v>Talcher Stage 1</v>
          </cell>
          <cell r="AD17">
            <v>2</v>
          </cell>
          <cell r="AE17">
            <v>0.49912127794189243</v>
          </cell>
          <cell r="AF17">
            <v>4.3499999999999996</v>
          </cell>
          <cell r="AG17">
            <v>494.9885323741006</v>
          </cell>
          <cell r="AH17">
            <v>4.3499999999999996</v>
          </cell>
          <cell r="AJ17" t="str">
            <v>Talcher Stage 1</v>
          </cell>
          <cell r="AK17">
            <v>2</v>
          </cell>
          <cell r="AL17">
            <v>0.49912127794189243</v>
          </cell>
          <cell r="AM17">
            <v>4.6500000000000004</v>
          </cell>
          <cell r="AN17">
            <v>506.73085851318928</v>
          </cell>
          <cell r="AO17">
            <v>4.6500000000000004</v>
          </cell>
        </row>
        <row r="18">
          <cell r="A18" t="str">
            <v>Talcher Stage 2</v>
          </cell>
          <cell r="B18">
            <v>2</v>
          </cell>
          <cell r="C18">
            <v>0.50072342199691666</v>
          </cell>
          <cell r="D18">
            <v>66</v>
          </cell>
          <cell r="E18">
            <v>508.03999999999996</v>
          </cell>
          <cell r="F18">
            <v>66</v>
          </cell>
          <cell r="H18" t="str">
            <v>Talcher Stage 2</v>
          </cell>
          <cell r="I18">
            <v>2</v>
          </cell>
          <cell r="J18">
            <v>0.50072342199691666</v>
          </cell>
          <cell r="K18">
            <v>132</v>
          </cell>
          <cell r="L18">
            <v>713.12056115107907</v>
          </cell>
          <cell r="M18">
            <v>132</v>
          </cell>
          <cell r="O18" t="str">
            <v>Talcher Stage 2</v>
          </cell>
          <cell r="P18">
            <v>2</v>
          </cell>
          <cell r="Q18">
            <v>0.50072342199691666</v>
          </cell>
          <cell r="R18">
            <v>137</v>
          </cell>
          <cell r="S18">
            <v>717.01563069544352</v>
          </cell>
          <cell r="T18">
            <v>137</v>
          </cell>
          <cell r="V18" t="str">
            <v>Talcher Stage 2</v>
          </cell>
          <cell r="W18">
            <v>2</v>
          </cell>
          <cell r="X18">
            <v>0.50072342199691666</v>
          </cell>
          <cell r="Y18">
            <v>137</v>
          </cell>
          <cell r="Z18">
            <v>655.73441726618694</v>
          </cell>
          <cell r="AA18">
            <v>137</v>
          </cell>
          <cell r="AC18" t="str">
            <v>Talcher Stage 2</v>
          </cell>
          <cell r="AD18">
            <v>2</v>
          </cell>
          <cell r="AE18">
            <v>0.50072342199691666</v>
          </cell>
          <cell r="AF18">
            <v>137</v>
          </cell>
          <cell r="AG18">
            <v>631.9885323741006</v>
          </cell>
          <cell r="AH18">
            <v>137</v>
          </cell>
          <cell r="AJ18" t="str">
            <v>Talcher Stage 2</v>
          </cell>
          <cell r="AK18">
            <v>2</v>
          </cell>
          <cell r="AL18">
            <v>0.50072342199691666</v>
          </cell>
          <cell r="AM18">
            <v>127</v>
          </cell>
          <cell r="AN18">
            <v>633.73085851318933</v>
          </cell>
          <cell r="AO18">
            <v>127</v>
          </cell>
        </row>
        <row r="19">
          <cell r="A19" t="str">
            <v>NLC-I</v>
          </cell>
          <cell r="B19">
            <v>2</v>
          </cell>
          <cell r="C19">
            <v>0.77121808150395588</v>
          </cell>
          <cell r="D19">
            <v>19</v>
          </cell>
          <cell r="E19">
            <v>527.04</v>
          </cell>
          <cell r="F19">
            <v>19</v>
          </cell>
          <cell r="H19" t="str">
            <v>NLC-I</v>
          </cell>
          <cell r="I19">
            <v>2</v>
          </cell>
          <cell r="J19">
            <v>0.77121808150395588</v>
          </cell>
          <cell r="K19">
            <v>32</v>
          </cell>
          <cell r="L19">
            <v>745.12056115107907</v>
          </cell>
          <cell r="M19">
            <v>32</v>
          </cell>
          <cell r="O19" t="str">
            <v>NLC-I</v>
          </cell>
          <cell r="P19">
            <v>2</v>
          </cell>
          <cell r="Q19">
            <v>0.77121808150395588</v>
          </cell>
          <cell r="R19">
            <v>46</v>
          </cell>
          <cell r="S19">
            <v>763.01563069544352</v>
          </cell>
          <cell r="T19">
            <v>46</v>
          </cell>
          <cell r="V19" t="str">
            <v>NLC-I</v>
          </cell>
          <cell r="W19">
            <v>2</v>
          </cell>
          <cell r="X19">
            <v>0.77121808150395588</v>
          </cell>
          <cell r="Y19">
            <v>59</v>
          </cell>
          <cell r="Z19">
            <v>714.73441726618694</v>
          </cell>
          <cell r="AA19">
            <v>59</v>
          </cell>
          <cell r="AC19" t="str">
            <v>NLC-I</v>
          </cell>
          <cell r="AD19">
            <v>2</v>
          </cell>
          <cell r="AE19">
            <v>0.77121808150395588</v>
          </cell>
          <cell r="AF19">
            <v>55</v>
          </cell>
          <cell r="AG19">
            <v>686.9885323741006</v>
          </cell>
          <cell r="AH19">
            <v>55</v>
          </cell>
          <cell r="AJ19" t="str">
            <v>NLC-I</v>
          </cell>
          <cell r="AK19">
            <v>2</v>
          </cell>
          <cell r="AL19">
            <v>0.77121808150395588</v>
          </cell>
          <cell r="AM19">
            <v>59</v>
          </cell>
          <cell r="AN19">
            <v>692.73085851318933</v>
          </cell>
          <cell r="AO19">
            <v>59</v>
          </cell>
        </row>
        <row r="20">
          <cell r="A20" t="str">
            <v>KTPS- D</v>
          </cell>
          <cell r="B20">
            <v>2</v>
          </cell>
          <cell r="C20">
            <v>0.84033000000000002</v>
          </cell>
          <cell r="D20">
            <v>221.24446902654867</v>
          </cell>
          <cell r="E20">
            <v>748.28446902654866</v>
          </cell>
          <cell r="F20">
            <v>221.24446902654867</v>
          </cell>
          <cell r="H20" t="str">
            <v>KTPS- D</v>
          </cell>
          <cell r="I20">
            <v>2</v>
          </cell>
          <cell r="J20">
            <v>0.84033000000000002</v>
          </cell>
          <cell r="K20">
            <v>316.75</v>
          </cell>
          <cell r="L20">
            <v>1061.8705611510791</v>
          </cell>
          <cell r="M20">
            <v>316.75</v>
          </cell>
          <cell r="O20" t="str">
            <v>KTPS- D</v>
          </cell>
          <cell r="P20">
            <v>2</v>
          </cell>
          <cell r="Q20">
            <v>0.84033000000000002</v>
          </cell>
          <cell r="R20">
            <v>325.8</v>
          </cell>
          <cell r="S20">
            <v>1088.8156306954436</v>
          </cell>
          <cell r="T20">
            <v>325.8</v>
          </cell>
          <cell r="V20" t="str">
            <v>KTPS- D</v>
          </cell>
          <cell r="W20">
            <v>2</v>
          </cell>
          <cell r="X20">
            <v>0.84033000000000002</v>
          </cell>
          <cell r="Y20">
            <v>330.32499999999999</v>
          </cell>
          <cell r="Z20">
            <v>1045.059417266187</v>
          </cell>
          <cell r="AA20">
            <v>330.32499999999999</v>
          </cell>
          <cell r="AC20" t="str">
            <v>KTPS- D</v>
          </cell>
          <cell r="AD20">
            <v>2</v>
          </cell>
          <cell r="AE20">
            <v>0.84033000000000002</v>
          </cell>
          <cell r="AF20">
            <v>298.64999999999998</v>
          </cell>
          <cell r="AG20">
            <v>985.63853237410058</v>
          </cell>
          <cell r="AH20">
            <v>298.64999999999998</v>
          </cell>
          <cell r="AJ20" t="str">
            <v>KTPS- D</v>
          </cell>
          <cell r="AK20">
            <v>2</v>
          </cell>
          <cell r="AL20">
            <v>0.84033000000000002</v>
          </cell>
          <cell r="AM20">
            <v>330.32499999999999</v>
          </cell>
          <cell r="AN20">
            <v>1023.0558585131894</v>
          </cell>
          <cell r="AO20">
            <v>330.32499999999999</v>
          </cell>
        </row>
        <row r="21">
          <cell r="A21" t="str">
            <v>NTPC- Simhadri</v>
          </cell>
          <cell r="B21">
            <v>2</v>
          </cell>
          <cell r="C21">
            <v>0.87160000000000004</v>
          </cell>
          <cell r="D21">
            <v>605</v>
          </cell>
          <cell r="E21">
            <v>1353.2844690265488</v>
          </cell>
          <cell r="F21">
            <v>605</v>
          </cell>
          <cell r="H21" t="str">
            <v>NTPC- Simhadri</v>
          </cell>
          <cell r="I21">
            <v>2</v>
          </cell>
          <cell r="J21">
            <v>0.87160000000000004</v>
          </cell>
          <cell r="K21">
            <v>411.75</v>
          </cell>
          <cell r="L21">
            <v>1473.6205611510791</v>
          </cell>
          <cell r="M21">
            <v>411.75</v>
          </cell>
          <cell r="O21" t="str">
            <v>NTPC- Simhadri</v>
          </cell>
          <cell r="P21">
            <v>2</v>
          </cell>
          <cell r="Q21">
            <v>0.87160000000000004</v>
          </cell>
          <cell r="R21">
            <v>466.65</v>
          </cell>
          <cell r="S21">
            <v>1555.4656306954435</v>
          </cell>
          <cell r="T21">
            <v>466.65</v>
          </cell>
          <cell r="V21" t="str">
            <v>NTPC- Simhadri</v>
          </cell>
          <cell r="W21">
            <v>2</v>
          </cell>
          <cell r="X21">
            <v>0.87160000000000004</v>
          </cell>
          <cell r="Y21">
            <v>549</v>
          </cell>
          <cell r="Z21">
            <v>1594.059417266187</v>
          </cell>
          <cell r="AA21">
            <v>549</v>
          </cell>
          <cell r="AC21" t="str">
            <v>NTPC- Simhadri</v>
          </cell>
          <cell r="AD21">
            <v>2</v>
          </cell>
          <cell r="AE21">
            <v>0.87160000000000004</v>
          </cell>
          <cell r="AF21">
            <v>522.46500000000003</v>
          </cell>
          <cell r="AG21">
            <v>1508.1035323741007</v>
          </cell>
          <cell r="AH21">
            <v>522.46500000000003</v>
          </cell>
          <cell r="AJ21" t="str">
            <v>NTPC- Simhadri</v>
          </cell>
          <cell r="AK21">
            <v>2</v>
          </cell>
          <cell r="AL21">
            <v>0.87741630875499421</v>
          </cell>
          <cell r="AM21">
            <v>582.69030000000009</v>
          </cell>
          <cell r="AN21">
            <v>1605.7461585131896</v>
          </cell>
          <cell r="AO21">
            <v>582.69030000000009</v>
          </cell>
        </row>
        <row r="22">
          <cell r="A22" t="str">
            <v>RTS-B</v>
          </cell>
          <cell r="B22">
            <v>2</v>
          </cell>
          <cell r="C22">
            <v>0.88980000000000004</v>
          </cell>
          <cell r="D22">
            <v>34</v>
          </cell>
          <cell r="E22">
            <v>1387.2844690265488</v>
          </cell>
          <cell r="F22">
            <v>34</v>
          </cell>
          <cell r="H22" t="str">
            <v>RTS-B</v>
          </cell>
          <cell r="I22">
            <v>2</v>
          </cell>
          <cell r="J22">
            <v>0.88980000000000004</v>
          </cell>
          <cell r="K22">
            <v>10.68</v>
          </cell>
          <cell r="L22">
            <v>1484.3005611510791</v>
          </cell>
          <cell r="M22">
            <v>10.68</v>
          </cell>
          <cell r="O22" t="str">
            <v>RTS-B</v>
          </cell>
          <cell r="P22">
            <v>2</v>
          </cell>
          <cell r="Q22">
            <v>0.88980000000000004</v>
          </cell>
          <cell r="R22">
            <v>35.6</v>
          </cell>
          <cell r="S22">
            <v>1591.0656306954434</v>
          </cell>
          <cell r="T22">
            <v>35.6</v>
          </cell>
          <cell r="V22" t="str">
            <v>RTS-B</v>
          </cell>
          <cell r="W22">
            <v>2</v>
          </cell>
          <cell r="X22">
            <v>0.88980000000000004</v>
          </cell>
          <cell r="Y22">
            <v>35.6</v>
          </cell>
          <cell r="Z22">
            <v>1629.6594172661869</v>
          </cell>
          <cell r="AA22">
            <v>35.6</v>
          </cell>
          <cell r="AC22" t="str">
            <v>RTS-B</v>
          </cell>
          <cell r="AD22">
            <v>2</v>
          </cell>
          <cell r="AE22">
            <v>0.88980000000000004</v>
          </cell>
          <cell r="AF22">
            <v>32.04</v>
          </cell>
          <cell r="AG22">
            <v>1540.1435323741007</v>
          </cell>
          <cell r="AH22">
            <v>32.04</v>
          </cell>
          <cell r="AJ22" t="str">
            <v>RTS-B</v>
          </cell>
          <cell r="AK22">
            <v>2</v>
          </cell>
          <cell r="AL22">
            <v>0.88980000000000004</v>
          </cell>
          <cell r="AM22">
            <v>35.6</v>
          </cell>
          <cell r="AN22">
            <v>1641.3461585131895</v>
          </cell>
          <cell r="AO22">
            <v>35.6</v>
          </cell>
        </row>
        <row r="23">
          <cell r="A23" t="str">
            <v>Spectrum</v>
          </cell>
          <cell r="B23">
            <v>2</v>
          </cell>
          <cell r="C23">
            <v>0.93</v>
          </cell>
          <cell r="D23">
            <v>80</v>
          </cell>
          <cell r="E23">
            <v>1467.2844690265488</v>
          </cell>
          <cell r="F23">
            <v>80</v>
          </cell>
          <cell r="H23" t="str">
            <v>Spectrum</v>
          </cell>
          <cell r="I23">
            <v>2</v>
          </cell>
          <cell r="J23">
            <v>0.93</v>
          </cell>
          <cell r="K23">
            <v>125.22307999999998</v>
          </cell>
          <cell r="L23">
            <v>1609.5236411510791</v>
          </cell>
          <cell r="M23">
            <v>125.22307999999998</v>
          </cell>
          <cell r="O23" t="str">
            <v>Spectrum</v>
          </cell>
          <cell r="P23">
            <v>2</v>
          </cell>
          <cell r="Q23">
            <v>0.93</v>
          </cell>
          <cell r="R23">
            <v>131.92707999999999</v>
          </cell>
          <cell r="S23">
            <v>1722.9927106954433</v>
          </cell>
          <cell r="T23">
            <v>131.92707999999999</v>
          </cell>
          <cell r="V23" t="str">
            <v>Spectrum</v>
          </cell>
          <cell r="W23">
            <v>2</v>
          </cell>
          <cell r="X23">
            <v>0.93</v>
          </cell>
          <cell r="Y23">
            <v>143.57707999999997</v>
          </cell>
          <cell r="Z23">
            <v>1773.2364972661869</v>
          </cell>
          <cell r="AA23">
            <v>143.57707999999997</v>
          </cell>
          <cell r="AC23" t="str">
            <v>Spectrum</v>
          </cell>
          <cell r="AD23">
            <v>2</v>
          </cell>
          <cell r="AE23">
            <v>0.93</v>
          </cell>
          <cell r="AF23">
            <v>124.93707999999998</v>
          </cell>
          <cell r="AG23">
            <v>1665.0806123741006</v>
          </cell>
          <cell r="AH23">
            <v>124.93707999999998</v>
          </cell>
          <cell r="AJ23" t="str">
            <v>Spectrum</v>
          </cell>
          <cell r="AK23">
            <v>2</v>
          </cell>
          <cell r="AL23">
            <v>0.93</v>
          </cell>
          <cell r="AM23">
            <v>134.60507999999999</v>
          </cell>
          <cell r="AN23">
            <v>1775.9512385131895</v>
          </cell>
          <cell r="AO23">
            <v>134.60507999999999</v>
          </cell>
        </row>
        <row r="24">
          <cell r="A24" t="str">
            <v>GVK</v>
          </cell>
          <cell r="B24">
            <v>2</v>
          </cell>
          <cell r="C24">
            <v>0.93230000000000002</v>
          </cell>
          <cell r="D24">
            <v>126</v>
          </cell>
          <cell r="E24">
            <v>1593.2844690265488</v>
          </cell>
          <cell r="F24">
            <v>126</v>
          </cell>
          <cell r="H24" t="str">
            <v>GVK</v>
          </cell>
          <cell r="I24">
            <v>2</v>
          </cell>
          <cell r="J24">
            <v>0.93230000000000002</v>
          </cell>
          <cell r="K24">
            <v>136.255</v>
          </cell>
          <cell r="L24">
            <v>1745.7786411510792</v>
          </cell>
          <cell r="M24">
            <v>136.255</v>
          </cell>
          <cell r="O24" t="str">
            <v>GVK</v>
          </cell>
          <cell r="P24">
            <v>2</v>
          </cell>
          <cell r="Q24">
            <v>0.93230000000000002</v>
          </cell>
          <cell r="R24">
            <v>142.18899999999999</v>
          </cell>
          <cell r="S24">
            <v>1865.1817106954434</v>
          </cell>
          <cell r="T24">
            <v>142.18899999999999</v>
          </cell>
          <cell r="V24" t="str">
            <v>GVK</v>
          </cell>
          <cell r="W24">
            <v>2</v>
          </cell>
          <cell r="X24">
            <v>0.93230000000000002</v>
          </cell>
          <cell r="Y24">
            <v>141.77099999999999</v>
          </cell>
          <cell r="Z24">
            <v>1915.0074972661869</v>
          </cell>
          <cell r="AA24">
            <v>141.77099999999999</v>
          </cell>
          <cell r="AC24" t="str">
            <v>GVK</v>
          </cell>
          <cell r="AD24">
            <v>2</v>
          </cell>
          <cell r="AE24">
            <v>0.93230000000000002</v>
          </cell>
          <cell r="AF24">
            <v>116.34</v>
          </cell>
          <cell r="AG24">
            <v>1781.4206123741005</v>
          </cell>
          <cell r="AH24">
            <v>116.34</v>
          </cell>
          <cell r="AJ24" t="str">
            <v>GVK</v>
          </cell>
          <cell r="AK24">
            <v>2</v>
          </cell>
          <cell r="AL24">
            <v>0.93230000000000002</v>
          </cell>
          <cell r="AM24">
            <v>117.937</v>
          </cell>
          <cell r="AN24">
            <v>1893.8882385131894</v>
          </cell>
          <cell r="AO24">
            <v>117.937</v>
          </cell>
        </row>
        <row r="25">
          <cell r="A25" t="str">
            <v>NTPC (SR)</v>
          </cell>
          <cell r="B25">
            <v>2</v>
          </cell>
          <cell r="C25">
            <v>0.93633851426652215</v>
          </cell>
          <cell r="D25">
            <v>344</v>
          </cell>
          <cell r="E25">
            <v>1937.2844690265488</v>
          </cell>
          <cell r="F25">
            <v>344</v>
          </cell>
          <cell r="H25" t="str">
            <v>NTPC (SR)</v>
          </cell>
          <cell r="I25">
            <v>2</v>
          </cell>
          <cell r="J25">
            <v>0.93633851426652215</v>
          </cell>
          <cell r="K25">
            <v>375.452</v>
          </cell>
          <cell r="L25">
            <v>2121.230641151079</v>
          </cell>
          <cell r="M25">
            <v>375.452</v>
          </cell>
          <cell r="O25" t="str">
            <v>NTPC (SR)</v>
          </cell>
          <cell r="P25">
            <v>2</v>
          </cell>
          <cell r="Q25">
            <v>0.93633851426652215</v>
          </cell>
          <cell r="R25">
            <v>364.82600000000002</v>
          </cell>
          <cell r="S25">
            <v>2230.0077106954432</v>
          </cell>
          <cell r="T25">
            <v>364.82600000000002</v>
          </cell>
          <cell r="V25" t="str">
            <v>NTPC (SR)</v>
          </cell>
          <cell r="W25">
            <v>2</v>
          </cell>
          <cell r="X25">
            <v>0.93633851426652215</v>
          </cell>
          <cell r="Y25">
            <v>397.34800000000001</v>
          </cell>
          <cell r="Z25">
            <v>2312.3554972661868</v>
          </cell>
          <cell r="AA25">
            <v>397.34800000000001</v>
          </cell>
          <cell r="AC25" t="str">
            <v>NTPC (SR)</v>
          </cell>
          <cell r="AD25">
            <v>2</v>
          </cell>
          <cell r="AE25">
            <v>0.93633851426652215</v>
          </cell>
          <cell r="AF25">
            <v>408.29599999999999</v>
          </cell>
          <cell r="AG25">
            <v>2189.7166123741004</v>
          </cell>
          <cell r="AH25">
            <v>408.29599999999999</v>
          </cell>
          <cell r="AJ25" t="str">
            <v>NTPC (SR)</v>
          </cell>
          <cell r="AK25">
            <v>2</v>
          </cell>
          <cell r="AL25">
            <v>0.94258028701075469</v>
          </cell>
          <cell r="AM25">
            <v>436.31</v>
          </cell>
          <cell r="AN25">
            <v>2330.1982385131896</v>
          </cell>
          <cell r="AO25">
            <v>436.31</v>
          </cell>
        </row>
        <row r="26">
          <cell r="A26" t="str">
            <v>BSES</v>
          </cell>
          <cell r="B26">
            <v>2</v>
          </cell>
          <cell r="C26">
            <v>0.96699999999999997</v>
          </cell>
          <cell r="D26">
            <v>115</v>
          </cell>
          <cell r="E26">
            <v>2052.2844690265488</v>
          </cell>
          <cell r="F26">
            <v>115</v>
          </cell>
          <cell r="H26" t="str">
            <v>BSES</v>
          </cell>
          <cell r="I26">
            <v>2</v>
          </cell>
          <cell r="J26">
            <v>0.96699999999999997</v>
          </cell>
          <cell r="K26">
            <v>131.625</v>
          </cell>
          <cell r="L26">
            <v>2252.855641151079</v>
          </cell>
          <cell r="M26">
            <v>131.625</v>
          </cell>
          <cell r="O26" t="str">
            <v>BSES</v>
          </cell>
          <cell r="P26">
            <v>2</v>
          </cell>
          <cell r="Q26">
            <v>0.96699999999999997</v>
          </cell>
          <cell r="R26">
            <v>136.5</v>
          </cell>
          <cell r="S26">
            <v>2366.5077106954432</v>
          </cell>
          <cell r="T26">
            <v>136.5</v>
          </cell>
          <cell r="V26" t="str">
            <v>BSES</v>
          </cell>
          <cell r="W26">
            <v>2</v>
          </cell>
          <cell r="X26">
            <v>0.96699999999999997</v>
          </cell>
          <cell r="Y26">
            <v>136.5</v>
          </cell>
          <cell r="Z26">
            <v>2448.8554972661868</v>
          </cell>
          <cell r="AA26">
            <v>136.5</v>
          </cell>
          <cell r="AC26" t="str">
            <v>BSES</v>
          </cell>
          <cell r="AD26">
            <v>2</v>
          </cell>
          <cell r="AE26">
            <v>0.96699999999999997</v>
          </cell>
          <cell r="AF26">
            <v>127.72499999999999</v>
          </cell>
          <cell r="AG26">
            <v>2317.4416123741003</v>
          </cell>
          <cell r="AH26">
            <v>127.72499999999999</v>
          </cell>
          <cell r="AJ26" t="str">
            <v>BSES</v>
          </cell>
          <cell r="AK26">
            <v>2</v>
          </cell>
          <cell r="AL26">
            <v>0.96699999999999997</v>
          </cell>
          <cell r="AM26">
            <v>124.8</v>
          </cell>
          <cell r="AN26">
            <v>2454.9982385131898</v>
          </cell>
          <cell r="AO26">
            <v>124.8</v>
          </cell>
        </row>
        <row r="27">
          <cell r="A27" t="str">
            <v>KTPS- A</v>
          </cell>
          <cell r="B27">
            <v>2</v>
          </cell>
          <cell r="C27">
            <v>0.99431999999999998</v>
          </cell>
          <cell r="D27">
            <v>94.559519282511204</v>
          </cell>
          <cell r="E27">
            <v>2146.84398830906</v>
          </cell>
          <cell r="F27">
            <v>94.559519282511204</v>
          </cell>
          <cell r="H27" t="str">
            <v>KTPS- A</v>
          </cell>
          <cell r="I27">
            <v>2</v>
          </cell>
          <cell r="J27">
            <v>0.99431999999999998</v>
          </cell>
          <cell r="K27">
            <v>76.874533333333332</v>
          </cell>
          <cell r="L27">
            <v>2329.7301744844121</v>
          </cell>
          <cell r="M27">
            <v>76.874533333333332</v>
          </cell>
          <cell r="O27" t="str">
            <v>KTPS- A</v>
          </cell>
          <cell r="P27">
            <v>2</v>
          </cell>
          <cell r="Q27">
            <v>0.99431999999999998</v>
          </cell>
          <cell r="R27">
            <v>79.535666666666671</v>
          </cell>
          <cell r="S27">
            <v>2446.0433773621098</v>
          </cell>
          <cell r="T27">
            <v>79.535666666666671</v>
          </cell>
          <cell r="V27" t="str">
            <v>KTPS- A</v>
          </cell>
          <cell r="W27">
            <v>2</v>
          </cell>
          <cell r="X27">
            <v>0.99431999999999998</v>
          </cell>
          <cell r="Y27">
            <v>91.349666666666664</v>
          </cell>
          <cell r="Z27">
            <v>2540.2051639328533</v>
          </cell>
          <cell r="AA27">
            <v>91.349666666666664</v>
          </cell>
          <cell r="AC27" t="str">
            <v>KTPS- A</v>
          </cell>
          <cell r="AD27">
            <v>2</v>
          </cell>
          <cell r="AE27">
            <v>0.99431999999999998</v>
          </cell>
          <cell r="AF27">
            <v>99.30919999999999</v>
          </cell>
          <cell r="AG27">
            <v>2416.7508123741004</v>
          </cell>
          <cell r="AH27">
            <v>99.30919999999999</v>
          </cell>
          <cell r="AJ27" t="str">
            <v>KTPS- A</v>
          </cell>
          <cell r="AK27">
            <v>2</v>
          </cell>
          <cell r="AL27">
            <v>0.99431999999999998</v>
          </cell>
          <cell r="AM27">
            <v>121.541</v>
          </cell>
          <cell r="AN27">
            <v>2576.53923851319</v>
          </cell>
          <cell r="AO27">
            <v>121.541</v>
          </cell>
        </row>
        <row r="28">
          <cell r="A28" t="str">
            <v>KTPS- B</v>
          </cell>
          <cell r="B28">
            <v>2</v>
          </cell>
          <cell r="C28">
            <v>0.99431999999999998</v>
          </cell>
          <cell r="D28">
            <v>94.559519282511204</v>
          </cell>
          <cell r="E28">
            <v>2241.4035075915713</v>
          </cell>
          <cell r="F28">
            <v>94.559519282511204</v>
          </cell>
          <cell r="H28" t="str">
            <v>KTPS- B</v>
          </cell>
          <cell r="I28">
            <v>2</v>
          </cell>
          <cell r="J28">
            <v>0.99431999999999998</v>
          </cell>
          <cell r="K28">
            <v>76.874533333333332</v>
          </cell>
          <cell r="L28">
            <v>2406.6047078177453</v>
          </cell>
          <cell r="M28">
            <v>76.874533333333332</v>
          </cell>
          <cell r="O28" t="str">
            <v>KTPS- B</v>
          </cell>
          <cell r="P28">
            <v>2</v>
          </cell>
          <cell r="Q28">
            <v>0.99431999999999998</v>
          </cell>
          <cell r="R28">
            <v>79.535666666666671</v>
          </cell>
          <cell r="S28">
            <v>2525.5790440287765</v>
          </cell>
          <cell r="T28">
            <v>79.535666666666671</v>
          </cell>
          <cell r="V28" t="str">
            <v>KTPS- B</v>
          </cell>
          <cell r="W28">
            <v>2</v>
          </cell>
          <cell r="X28">
            <v>0.99431999999999998</v>
          </cell>
          <cell r="Y28">
            <v>91.349666666666664</v>
          </cell>
          <cell r="Z28">
            <v>2631.5548305995198</v>
          </cell>
          <cell r="AA28">
            <v>91.349666666666664</v>
          </cell>
          <cell r="AC28" t="str">
            <v>KTPS- B</v>
          </cell>
          <cell r="AD28">
            <v>2</v>
          </cell>
          <cell r="AE28">
            <v>0.99431999999999998</v>
          </cell>
          <cell r="AF28">
            <v>99.30919999999999</v>
          </cell>
          <cell r="AG28">
            <v>2516.0600123741006</v>
          </cell>
          <cell r="AH28">
            <v>99.30919999999999</v>
          </cell>
          <cell r="AJ28" t="str">
            <v>KTPS- B</v>
          </cell>
          <cell r="AK28">
            <v>2</v>
          </cell>
          <cell r="AL28">
            <v>0.99431999999999998</v>
          </cell>
          <cell r="AM28">
            <v>121.541</v>
          </cell>
          <cell r="AN28">
            <v>2698.0802385131901</v>
          </cell>
          <cell r="AO28">
            <v>121.541</v>
          </cell>
        </row>
        <row r="29">
          <cell r="A29" t="str">
            <v>KTPS- C</v>
          </cell>
          <cell r="B29">
            <v>2</v>
          </cell>
          <cell r="C29">
            <v>0.99431999999999998</v>
          </cell>
          <cell r="D29">
            <v>94.559519282511204</v>
          </cell>
          <cell r="E29">
            <v>2335.9630268740825</v>
          </cell>
          <cell r="F29">
            <v>94.559519282511204</v>
          </cell>
          <cell r="H29" t="str">
            <v>KTPS- C</v>
          </cell>
          <cell r="I29">
            <v>2</v>
          </cell>
          <cell r="J29">
            <v>0.99431999999999998</v>
          </cell>
          <cell r="K29">
            <v>76.874533333333332</v>
          </cell>
          <cell r="L29">
            <v>2483.4792411510784</v>
          </cell>
          <cell r="M29">
            <v>76.874533333333332</v>
          </cell>
          <cell r="O29" t="str">
            <v>KTPS- C</v>
          </cell>
          <cell r="P29">
            <v>2</v>
          </cell>
          <cell r="Q29">
            <v>0.99431999999999998</v>
          </cell>
          <cell r="R29">
            <v>79.535666666666671</v>
          </cell>
          <cell r="S29">
            <v>2605.1147106954431</v>
          </cell>
          <cell r="T29">
            <v>79.535666666666671</v>
          </cell>
          <cell r="V29" t="str">
            <v>KTPS- C</v>
          </cell>
          <cell r="W29">
            <v>2</v>
          </cell>
          <cell r="X29">
            <v>0.99431999999999998</v>
          </cell>
          <cell r="Y29">
            <v>91.349666666666664</v>
          </cell>
          <cell r="Z29">
            <v>2722.9044972661864</v>
          </cell>
          <cell r="AA29">
            <v>91.349666666666664</v>
          </cell>
          <cell r="AC29" t="str">
            <v>KTPS- C</v>
          </cell>
          <cell r="AD29">
            <v>2</v>
          </cell>
          <cell r="AE29">
            <v>0.99431999999999998</v>
          </cell>
          <cell r="AF29">
            <v>99.30919999999999</v>
          </cell>
          <cell r="AG29">
            <v>2615.3692123741007</v>
          </cell>
          <cell r="AH29">
            <v>99.30919999999999</v>
          </cell>
          <cell r="AJ29" t="str">
            <v>KTPS- C</v>
          </cell>
          <cell r="AK29">
            <v>2</v>
          </cell>
          <cell r="AL29">
            <v>0.99431999999999998</v>
          </cell>
          <cell r="AM29">
            <v>121.541</v>
          </cell>
          <cell r="AN29">
            <v>2819.6212385131903</v>
          </cell>
          <cell r="AO29">
            <v>121.541</v>
          </cell>
        </row>
        <row r="30">
          <cell r="A30" t="str">
            <v>VTPS- I</v>
          </cell>
          <cell r="B30">
            <v>2</v>
          </cell>
          <cell r="C30">
            <v>1.0464</v>
          </cell>
          <cell r="D30">
            <v>260.50210696920584</v>
          </cell>
          <cell r="E30">
            <v>2596.4651338432882</v>
          </cell>
          <cell r="F30">
            <v>260.50210696920584</v>
          </cell>
          <cell r="H30" t="str">
            <v>VTPS- I</v>
          </cell>
          <cell r="I30">
            <v>2</v>
          </cell>
          <cell r="J30">
            <v>1.0464</v>
          </cell>
          <cell r="K30">
            <v>195</v>
          </cell>
          <cell r="L30">
            <v>2678.4792411510784</v>
          </cell>
          <cell r="M30">
            <v>195</v>
          </cell>
          <cell r="O30" t="str">
            <v>VTPS- I</v>
          </cell>
          <cell r="P30">
            <v>2</v>
          </cell>
          <cell r="Q30">
            <v>1.0464</v>
          </cell>
          <cell r="R30">
            <v>262.5</v>
          </cell>
          <cell r="S30">
            <v>2867.6147106954431</v>
          </cell>
          <cell r="T30">
            <v>262.5</v>
          </cell>
          <cell r="V30" t="str">
            <v>VTPS- I</v>
          </cell>
          <cell r="W30">
            <v>2</v>
          </cell>
          <cell r="X30">
            <v>1.0464</v>
          </cell>
          <cell r="Y30">
            <v>256.2</v>
          </cell>
          <cell r="Z30">
            <v>2979.1044972661862</v>
          </cell>
          <cell r="AA30">
            <v>256.2</v>
          </cell>
          <cell r="AC30" t="str">
            <v>VTPS- I</v>
          </cell>
          <cell r="AD30">
            <v>2</v>
          </cell>
          <cell r="AE30">
            <v>1.0464</v>
          </cell>
          <cell r="AF30">
            <v>249</v>
          </cell>
          <cell r="AG30">
            <v>2864.3692123741007</v>
          </cell>
          <cell r="AH30">
            <v>249</v>
          </cell>
          <cell r="AJ30" t="str">
            <v>VTPS- I</v>
          </cell>
          <cell r="AK30">
            <v>2</v>
          </cell>
          <cell r="AL30">
            <v>1.0464</v>
          </cell>
          <cell r="AM30">
            <v>264.60000000000002</v>
          </cell>
          <cell r="AN30">
            <v>3084.2212385131902</v>
          </cell>
          <cell r="AO30">
            <v>264.60000000000002</v>
          </cell>
        </row>
        <row r="31">
          <cell r="A31" t="str">
            <v>VTPS- II</v>
          </cell>
          <cell r="B31">
            <v>2</v>
          </cell>
          <cell r="C31">
            <v>1.0464</v>
          </cell>
          <cell r="D31">
            <v>260.50210696920584</v>
          </cell>
          <cell r="E31">
            <v>2856.9672408124939</v>
          </cell>
          <cell r="F31">
            <v>260.50210696920584</v>
          </cell>
          <cell r="H31" t="str">
            <v>VTPS- II</v>
          </cell>
          <cell r="I31">
            <v>2</v>
          </cell>
          <cell r="J31">
            <v>1.0464</v>
          </cell>
          <cell r="K31">
            <v>195</v>
          </cell>
          <cell r="L31">
            <v>2873.4792411510784</v>
          </cell>
          <cell r="M31">
            <v>195</v>
          </cell>
          <cell r="O31" t="str">
            <v>VTPS- II</v>
          </cell>
          <cell r="P31">
            <v>2</v>
          </cell>
          <cell r="Q31">
            <v>1.0464</v>
          </cell>
          <cell r="R31">
            <v>262.5</v>
          </cell>
          <cell r="S31">
            <v>3130.1147106954431</v>
          </cell>
          <cell r="T31">
            <v>262.5</v>
          </cell>
          <cell r="V31" t="str">
            <v>VTPS- II</v>
          </cell>
          <cell r="W31">
            <v>2</v>
          </cell>
          <cell r="X31">
            <v>1.0464</v>
          </cell>
          <cell r="Y31">
            <v>256.2</v>
          </cell>
          <cell r="Z31">
            <v>3235.304497266186</v>
          </cell>
          <cell r="AA31">
            <v>256.2</v>
          </cell>
          <cell r="AC31" t="str">
            <v>VTPS- II</v>
          </cell>
          <cell r="AD31">
            <v>2</v>
          </cell>
          <cell r="AE31">
            <v>1.0464</v>
          </cell>
          <cell r="AF31">
            <v>249</v>
          </cell>
          <cell r="AG31">
            <v>3113.3692123741007</v>
          </cell>
          <cell r="AH31">
            <v>249</v>
          </cell>
          <cell r="AJ31" t="str">
            <v>VTPS- II</v>
          </cell>
          <cell r="AK31">
            <v>2</v>
          </cell>
          <cell r="AL31">
            <v>1.0464</v>
          </cell>
          <cell r="AM31">
            <v>264.60000000000002</v>
          </cell>
          <cell r="AN31">
            <v>3348.8212385131901</v>
          </cell>
          <cell r="AO31">
            <v>264.60000000000002</v>
          </cell>
        </row>
        <row r="32">
          <cell r="A32" t="str">
            <v>VTPS- III</v>
          </cell>
          <cell r="B32">
            <v>2</v>
          </cell>
          <cell r="C32">
            <v>1.0464</v>
          </cell>
          <cell r="D32">
            <v>260.50210696920584</v>
          </cell>
          <cell r="E32">
            <v>3117.4693477816995</v>
          </cell>
          <cell r="F32">
            <v>260.50210696920584</v>
          </cell>
          <cell r="H32" t="str">
            <v>VTPS- III</v>
          </cell>
          <cell r="I32">
            <v>2</v>
          </cell>
          <cell r="J32">
            <v>1.0464</v>
          </cell>
          <cell r="K32">
            <v>195</v>
          </cell>
          <cell r="L32">
            <v>3068.4792411510784</v>
          </cell>
          <cell r="M32">
            <v>195</v>
          </cell>
          <cell r="O32" t="str">
            <v>VTPS- III</v>
          </cell>
          <cell r="P32">
            <v>2</v>
          </cell>
          <cell r="Q32">
            <v>1.0464</v>
          </cell>
          <cell r="R32">
            <v>262.5</v>
          </cell>
          <cell r="S32">
            <v>3392.6147106954431</v>
          </cell>
          <cell r="T32">
            <v>262.5</v>
          </cell>
          <cell r="V32" t="str">
            <v>VTPS- III</v>
          </cell>
          <cell r="W32">
            <v>2</v>
          </cell>
          <cell r="X32">
            <v>1.0464</v>
          </cell>
          <cell r="Y32">
            <v>256.2</v>
          </cell>
          <cell r="Z32">
            <v>3491.5044972661858</v>
          </cell>
          <cell r="AA32">
            <v>256.2</v>
          </cell>
          <cell r="AC32" t="str">
            <v>VTPS- III</v>
          </cell>
          <cell r="AD32">
            <v>2</v>
          </cell>
          <cell r="AE32">
            <v>1.0464</v>
          </cell>
          <cell r="AF32">
            <v>249</v>
          </cell>
          <cell r="AG32">
            <v>3362.3692123741007</v>
          </cell>
          <cell r="AH32">
            <v>249</v>
          </cell>
          <cell r="AJ32" t="str">
            <v>VTPS- III</v>
          </cell>
          <cell r="AK32">
            <v>2</v>
          </cell>
          <cell r="AL32">
            <v>1.0464</v>
          </cell>
          <cell r="AM32">
            <v>264.60000000000002</v>
          </cell>
          <cell r="AN32">
            <v>3613.42123851319</v>
          </cell>
          <cell r="AO32">
            <v>264.60000000000002</v>
          </cell>
        </row>
        <row r="33">
          <cell r="A33" t="str">
            <v>NLC-II</v>
          </cell>
          <cell r="B33">
            <v>2</v>
          </cell>
          <cell r="C33">
            <v>1.0465569210791761</v>
          </cell>
          <cell r="D33">
            <v>82</v>
          </cell>
          <cell r="E33">
            <v>3199.4693477816995</v>
          </cell>
          <cell r="F33">
            <v>82</v>
          </cell>
          <cell r="H33" t="str">
            <v>NLC-II</v>
          </cell>
          <cell r="I33">
            <v>2</v>
          </cell>
          <cell r="J33">
            <v>1.0465569210791761</v>
          </cell>
          <cell r="K33">
            <v>76</v>
          </cell>
          <cell r="L33">
            <v>3144.4792411510784</v>
          </cell>
          <cell r="M33">
            <v>76</v>
          </cell>
          <cell r="O33" t="str">
            <v>NLC-II</v>
          </cell>
          <cell r="P33">
            <v>2</v>
          </cell>
          <cell r="Q33">
            <v>1.0465569210791761</v>
          </cell>
          <cell r="R33">
            <v>63</v>
          </cell>
          <cell r="S33">
            <v>3455.6147106954431</v>
          </cell>
          <cell r="T33">
            <v>63</v>
          </cell>
          <cell r="V33" t="str">
            <v>NLC-II</v>
          </cell>
          <cell r="W33">
            <v>2</v>
          </cell>
          <cell r="X33">
            <v>1.0465569210791761</v>
          </cell>
          <cell r="Y33">
            <v>97</v>
          </cell>
          <cell r="Z33">
            <v>3588.5044972661858</v>
          </cell>
          <cell r="AA33">
            <v>97</v>
          </cell>
          <cell r="AC33" t="str">
            <v>NLC-II</v>
          </cell>
          <cell r="AD33">
            <v>2</v>
          </cell>
          <cell r="AE33">
            <v>1.0465569210791761</v>
          </cell>
          <cell r="AF33">
            <v>92</v>
          </cell>
          <cell r="AG33">
            <v>3454.3692123741007</v>
          </cell>
          <cell r="AH33">
            <v>92</v>
          </cell>
          <cell r="AJ33" t="str">
            <v>NLC-II</v>
          </cell>
          <cell r="AK33">
            <v>2</v>
          </cell>
          <cell r="AL33">
            <v>1.0465569210791761</v>
          </cell>
          <cell r="AM33">
            <v>98</v>
          </cell>
          <cell r="AN33">
            <v>3711.42123851319</v>
          </cell>
          <cell r="AO33">
            <v>98</v>
          </cell>
        </row>
        <row r="34">
          <cell r="A34" t="str">
            <v>Srivathsa</v>
          </cell>
          <cell r="B34">
            <v>2</v>
          </cell>
          <cell r="C34">
            <v>1.0509999999999999</v>
          </cell>
          <cell r="D34">
            <v>8.18</v>
          </cell>
          <cell r="E34">
            <v>3207.6493477816994</v>
          </cell>
          <cell r="F34">
            <v>8.18</v>
          </cell>
          <cell r="H34" t="str">
            <v>Srivathsa</v>
          </cell>
          <cell r="I34">
            <v>2</v>
          </cell>
          <cell r="J34">
            <v>1.0509999999999999</v>
          </cell>
          <cell r="K34">
            <v>8.18</v>
          </cell>
          <cell r="L34">
            <v>3152.6592411510783</v>
          </cell>
          <cell r="M34">
            <v>8.18</v>
          </cell>
          <cell r="O34" t="str">
            <v>Srivathsa</v>
          </cell>
          <cell r="P34">
            <v>2</v>
          </cell>
          <cell r="Q34">
            <v>1.0509999999999999</v>
          </cell>
          <cell r="R34">
            <v>8.18</v>
          </cell>
          <cell r="S34">
            <v>3463.794710695443</v>
          </cell>
          <cell r="T34">
            <v>8.18</v>
          </cell>
          <cell r="V34" t="str">
            <v>Srivathsa</v>
          </cell>
          <cell r="W34">
            <v>2</v>
          </cell>
          <cell r="X34">
            <v>1.0509999999999999</v>
          </cell>
          <cell r="Y34">
            <v>8.0299999999999994</v>
          </cell>
          <cell r="Z34">
            <v>3596.534497266186</v>
          </cell>
          <cell r="AA34">
            <v>8.0299999999999994</v>
          </cell>
          <cell r="AC34" t="str">
            <v>Srivathsa</v>
          </cell>
          <cell r="AD34">
            <v>2</v>
          </cell>
          <cell r="AE34">
            <v>1.0509999999999999</v>
          </cell>
          <cell r="AF34">
            <v>8.02</v>
          </cell>
          <cell r="AG34">
            <v>3462.3892123741007</v>
          </cell>
          <cell r="AH34">
            <v>8.02</v>
          </cell>
          <cell r="AJ34" t="str">
            <v>Srivathsa</v>
          </cell>
          <cell r="AK34">
            <v>2</v>
          </cell>
          <cell r="AL34">
            <v>1.0509999999999999</v>
          </cell>
          <cell r="AM34">
            <v>8.02</v>
          </cell>
          <cell r="AN34">
            <v>3719.44123851319</v>
          </cell>
          <cell r="AO34">
            <v>8.02</v>
          </cell>
        </row>
        <row r="35">
          <cell r="A35" t="str">
            <v>Kondapalli</v>
          </cell>
          <cell r="B35">
            <v>2</v>
          </cell>
          <cell r="C35">
            <v>1.101</v>
          </cell>
          <cell r="D35">
            <v>195</v>
          </cell>
          <cell r="E35">
            <v>3402.6493477816994</v>
          </cell>
          <cell r="F35">
            <v>195</v>
          </cell>
          <cell r="H35" t="str">
            <v>Kondapalli</v>
          </cell>
          <cell r="I35">
            <v>2</v>
          </cell>
          <cell r="J35">
            <v>1.101</v>
          </cell>
          <cell r="K35">
            <v>219.30676266666674</v>
          </cell>
          <cell r="L35">
            <v>3371.9660038177449</v>
          </cell>
          <cell r="M35">
            <v>219.30676266666674</v>
          </cell>
          <cell r="O35" t="str">
            <v>Kondapalli</v>
          </cell>
          <cell r="P35">
            <v>2</v>
          </cell>
          <cell r="Q35">
            <v>1.101</v>
          </cell>
          <cell r="R35">
            <v>227.87676266666674</v>
          </cell>
          <cell r="S35">
            <v>3691.6714733621097</v>
          </cell>
          <cell r="T35">
            <v>227.87676266666674</v>
          </cell>
          <cell r="V35" t="str">
            <v>Kondapalli</v>
          </cell>
          <cell r="W35">
            <v>2</v>
          </cell>
          <cell r="X35">
            <v>1.101</v>
          </cell>
          <cell r="Y35">
            <v>165.26776266666673</v>
          </cell>
          <cell r="Z35">
            <v>3761.8022599328528</v>
          </cell>
          <cell r="AA35">
            <v>165.26776266666673</v>
          </cell>
          <cell r="AC35" t="str">
            <v>Kondapalli</v>
          </cell>
          <cell r="AD35">
            <v>2</v>
          </cell>
          <cell r="AE35">
            <v>1.101</v>
          </cell>
          <cell r="AF35">
            <v>193.71776266666672</v>
          </cell>
          <cell r="AG35">
            <v>3656.1069750407673</v>
          </cell>
          <cell r="AH35">
            <v>193.71776266666672</v>
          </cell>
          <cell r="AJ35" t="str">
            <v>Kondapalli</v>
          </cell>
          <cell r="AK35">
            <v>2</v>
          </cell>
          <cell r="AL35">
            <v>1.101</v>
          </cell>
          <cell r="AM35">
            <v>227.87676266666674</v>
          </cell>
          <cell r="AN35">
            <v>3947.3180011798568</v>
          </cell>
          <cell r="AO35">
            <v>227.87676266666674</v>
          </cell>
        </row>
        <row r="36">
          <cell r="A36" t="str">
            <v>Farakka</v>
          </cell>
          <cell r="B36">
            <v>2</v>
          </cell>
          <cell r="C36">
            <v>1.1022751098566939</v>
          </cell>
          <cell r="D36">
            <v>10.333333333333332</v>
          </cell>
          <cell r="E36">
            <v>3412.9826811150328</v>
          </cell>
          <cell r="F36">
            <v>10.333333333333332</v>
          </cell>
          <cell r="H36" t="str">
            <v>Farakka</v>
          </cell>
          <cell r="I36">
            <v>2</v>
          </cell>
          <cell r="J36">
            <v>1.1022751098566939</v>
          </cell>
          <cell r="K36">
            <v>10</v>
          </cell>
          <cell r="L36">
            <v>3381.9660038177449</v>
          </cell>
          <cell r="M36">
            <v>10</v>
          </cell>
          <cell r="O36" t="str">
            <v>Farakka</v>
          </cell>
          <cell r="P36">
            <v>2</v>
          </cell>
          <cell r="Q36">
            <v>1.1022751098566939</v>
          </cell>
          <cell r="R36">
            <v>10.333333333333332</v>
          </cell>
          <cell r="S36">
            <v>3702.0048066954432</v>
          </cell>
          <cell r="T36">
            <v>10.333333333333332</v>
          </cell>
          <cell r="V36" t="str">
            <v>Farakka</v>
          </cell>
          <cell r="W36">
            <v>2</v>
          </cell>
          <cell r="X36">
            <v>1.1022751098566939</v>
          </cell>
          <cell r="Y36">
            <v>10.333333333333332</v>
          </cell>
          <cell r="Z36">
            <v>3772.1355932661863</v>
          </cell>
          <cell r="AA36">
            <v>10.333333333333332</v>
          </cell>
          <cell r="AC36" t="str">
            <v>Farakka</v>
          </cell>
          <cell r="AD36">
            <v>2</v>
          </cell>
          <cell r="AE36">
            <v>1.1022751098566939</v>
          </cell>
          <cell r="AF36">
            <v>9.6666666666666661</v>
          </cell>
          <cell r="AG36">
            <v>3665.7736417074339</v>
          </cell>
          <cell r="AH36">
            <v>9.6666666666666661</v>
          </cell>
          <cell r="AJ36" t="str">
            <v>Farakka</v>
          </cell>
          <cell r="AK36">
            <v>2</v>
          </cell>
          <cell r="AL36">
            <v>1.1022751098566939</v>
          </cell>
          <cell r="AM36">
            <v>10.333333333333332</v>
          </cell>
          <cell r="AN36">
            <v>3957.6513345131902</v>
          </cell>
          <cell r="AO36">
            <v>10.333333333333332</v>
          </cell>
        </row>
        <row r="37">
          <cell r="A37" t="str">
            <v>Kahalgaon</v>
          </cell>
          <cell r="B37">
            <v>2</v>
          </cell>
          <cell r="C37">
            <v>1.2304466342586347</v>
          </cell>
          <cell r="D37">
            <v>16.016666666666669</v>
          </cell>
          <cell r="E37">
            <v>3428.9993477816997</v>
          </cell>
          <cell r="F37">
            <v>16.016666666666669</v>
          </cell>
          <cell r="H37" t="str">
            <v>Kahalgaon</v>
          </cell>
          <cell r="I37">
            <v>2</v>
          </cell>
          <cell r="J37">
            <v>1.2304466342586347</v>
          </cell>
          <cell r="K37">
            <v>15.5</v>
          </cell>
          <cell r="L37">
            <v>3397.4660038177449</v>
          </cell>
          <cell r="M37">
            <v>15.5</v>
          </cell>
          <cell r="O37" t="str">
            <v>Kahalgaon</v>
          </cell>
          <cell r="P37">
            <v>2</v>
          </cell>
          <cell r="Q37">
            <v>1.2304466342586347</v>
          </cell>
          <cell r="R37">
            <v>16.016666666666669</v>
          </cell>
          <cell r="S37">
            <v>3718.0214733621101</v>
          </cell>
          <cell r="T37">
            <v>16.016666666666669</v>
          </cell>
          <cell r="V37" t="str">
            <v>Kahalgaon</v>
          </cell>
          <cell r="W37">
            <v>2</v>
          </cell>
          <cell r="X37">
            <v>1.2304466342586347</v>
          </cell>
          <cell r="Y37">
            <v>16.016666666666669</v>
          </cell>
          <cell r="Z37">
            <v>3788.1522599328532</v>
          </cell>
          <cell r="AA37">
            <v>16.016666666666669</v>
          </cell>
          <cell r="AC37" t="str">
            <v>Kahalgaon</v>
          </cell>
          <cell r="AD37">
            <v>2</v>
          </cell>
          <cell r="AE37">
            <v>1.2304466342586347</v>
          </cell>
          <cell r="AF37">
            <v>14.983333333333334</v>
          </cell>
          <cell r="AG37">
            <v>3680.756975040767</v>
          </cell>
          <cell r="AH37">
            <v>14.983333333333334</v>
          </cell>
          <cell r="AJ37" t="str">
            <v>Kahalgaon</v>
          </cell>
          <cell r="AK37">
            <v>2</v>
          </cell>
          <cell r="AL37">
            <v>1.2304466342586347</v>
          </cell>
          <cell r="AM37">
            <v>16.016666666666669</v>
          </cell>
          <cell r="AN37">
            <v>3973.6680011798571</v>
          </cell>
          <cell r="AO37">
            <v>16.016666666666669</v>
          </cell>
        </row>
        <row r="38">
          <cell r="A38" t="str">
            <v>NTS</v>
          </cell>
          <cell r="B38">
            <v>2</v>
          </cell>
          <cell r="C38">
            <v>1.39828</v>
          </cell>
          <cell r="D38">
            <v>8.9</v>
          </cell>
          <cell r="E38">
            <v>3437.8993477816998</v>
          </cell>
          <cell r="F38">
            <v>8.9</v>
          </cell>
          <cell r="H38" t="str">
            <v>NTS</v>
          </cell>
          <cell r="I38">
            <v>2</v>
          </cell>
          <cell r="J38">
            <v>1.39828</v>
          </cell>
          <cell r="K38">
            <v>8.5</v>
          </cell>
          <cell r="L38">
            <v>3405.9660038177449</v>
          </cell>
          <cell r="M38">
            <v>8.5</v>
          </cell>
          <cell r="O38" t="str">
            <v>NTS</v>
          </cell>
          <cell r="P38">
            <v>2</v>
          </cell>
          <cell r="Q38">
            <v>1.39828</v>
          </cell>
          <cell r="R38">
            <v>0</v>
          </cell>
          <cell r="S38">
            <v>3718.0214733621101</v>
          </cell>
          <cell r="T38">
            <v>0</v>
          </cell>
          <cell r="V38" t="str">
            <v>NTS</v>
          </cell>
          <cell r="W38">
            <v>2</v>
          </cell>
          <cell r="X38">
            <v>1.39828</v>
          </cell>
          <cell r="Y38">
            <v>12.75</v>
          </cell>
          <cell r="Z38">
            <v>3800.9022599328532</v>
          </cell>
          <cell r="AA38">
            <v>12.75</v>
          </cell>
          <cell r="AC38" t="str">
            <v>NTS</v>
          </cell>
          <cell r="AD38">
            <v>2</v>
          </cell>
          <cell r="AE38">
            <v>1.39828</v>
          </cell>
          <cell r="AF38">
            <v>11.9</v>
          </cell>
          <cell r="AG38">
            <v>3692.6569750407671</v>
          </cell>
          <cell r="AH38">
            <v>11.9</v>
          </cell>
          <cell r="AJ38" t="str">
            <v>NTS</v>
          </cell>
          <cell r="AK38">
            <v>2</v>
          </cell>
          <cell r="AL38">
            <v>1.39828</v>
          </cell>
          <cell r="AM38">
            <v>12.75</v>
          </cell>
          <cell r="AN38">
            <v>3986.4180011798571</v>
          </cell>
          <cell r="AO38">
            <v>12.75</v>
          </cell>
        </row>
        <row r="39">
          <cell r="A39" t="str">
            <v>RTPP</v>
          </cell>
          <cell r="B39">
            <v>2</v>
          </cell>
          <cell r="C39">
            <v>1.4072</v>
          </cell>
          <cell r="D39">
            <v>272.50746268656718</v>
          </cell>
          <cell r="E39">
            <v>3710.4068104682669</v>
          </cell>
          <cell r="F39">
            <v>272.50746268656718</v>
          </cell>
          <cell r="H39" t="str">
            <v>RTPP</v>
          </cell>
          <cell r="I39">
            <v>2</v>
          </cell>
          <cell r="J39">
            <v>1.4072</v>
          </cell>
          <cell r="K39">
            <v>259.55</v>
          </cell>
          <cell r="L39">
            <v>3665.5160038177451</v>
          </cell>
          <cell r="M39">
            <v>259.55</v>
          </cell>
          <cell r="O39" t="str">
            <v>RTPP</v>
          </cell>
          <cell r="P39">
            <v>2</v>
          </cell>
          <cell r="Q39">
            <v>1.4072</v>
          </cell>
          <cell r="R39">
            <v>268.5</v>
          </cell>
          <cell r="S39">
            <v>3986.5214733621101</v>
          </cell>
          <cell r="T39">
            <v>228.77179649918389</v>
          </cell>
          <cell r="V39" t="str">
            <v>RTPP</v>
          </cell>
          <cell r="W39">
            <v>2</v>
          </cell>
          <cell r="X39">
            <v>1.4072</v>
          </cell>
          <cell r="Y39">
            <v>268.5</v>
          </cell>
          <cell r="Z39">
            <v>4069.4022599328532</v>
          </cell>
          <cell r="AA39">
            <v>181.18090578840383</v>
          </cell>
          <cell r="AC39" t="str">
            <v>RTPP</v>
          </cell>
          <cell r="AD39">
            <v>2</v>
          </cell>
          <cell r="AE39">
            <v>1.4072</v>
          </cell>
          <cell r="AF39">
            <v>250.6</v>
          </cell>
          <cell r="AG39">
            <v>3943.256975040767</v>
          </cell>
          <cell r="AH39">
            <v>212.77873061859373</v>
          </cell>
          <cell r="AJ39" t="str">
            <v>RTPP</v>
          </cell>
          <cell r="AK39">
            <v>2</v>
          </cell>
          <cell r="AL39">
            <v>1.4072</v>
          </cell>
          <cell r="AM39">
            <v>268.5</v>
          </cell>
          <cell r="AN39">
            <v>4254.9180011798571</v>
          </cell>
          <cell r="AO39">
            <v>120.54193670452059</v>
          </cell>
        </row>
        <row r="40">
          <cell r="A40" t="str">
            <v>VSP</v>
          </cell>
          <cell r="B40">
            <v>2</v>
          </cell>
          <cell r="C40">
            <v>1.76</v>
          </cell>
          <cell r="D40">
            <v>19</v>
          </cell>
          <cell r="E40">
            <v>3729.4068104682669</v>
          </cell>
          <cell r="F40">
            <v>19</v>
          </cell>
          <cell r="H40" t="str">
            <v>VSP</v>
          </cell>
          <cell r="I40">
            <v>2</v>
          </cell>
          <cell r="J40">
            <v>1.76</v>
          </cell>
          <cell r="K40">
            <v>20</v>
          </cell>
          <cell r="L40">
            <v>3685.5160038177451</v>
          </cell>
          <cell r="M40">
            <v>20</v>
          </cell>
          <cell r="O40" t="str">
            <v>VSP</v>
          </cell>
          <cell r="P40">
            <v>2</v>
          </cell>
          <cell r="Q40">
            <v>1.76</v>
          </cell>
          <cell r="R40">
            <v>20</v>
          </cell>
          <cell r="S40">
            <v>4006.5214733621101</v>
          </cell>
          <cell r="T40">
            <v>0</v>
          </cell>
          <cell r="V40" t="str">
            <v>VSP</v>
          </cell>
          <cell r="W40">
            <v>2</v>
          </cell>
          <cell r="X40">
            <v>1.76</v>
          </cell>
          <cell r="Y40">
            <v>20</v>
          </cell>
          <cell r="Z40">
            <v>4089.4022599328532</v>
          </cell>
          <cell r="AA40">
            <v>0</v>
          </cell>
          <cell r="AC40" t="str">
            <v>VSP</v>
          </cell>
          <cell r="AD40">
            <v>2</v>
          </cell>
          <cell r="AE40">
            <v>1.76</v>
          </cell>
          <cell r="AF40">
            <v>20</v>
          </cell>
          <cell r="AG40">
            <v>3963.256975040767</v>
          </cell>
          <cell r="AH40">
            <v>0</v>
          </cell>
          <cell r="AJ40" t="str">
            <v>VSP</v>
          </cell>
          <cell r="AK40">
            <v>2</v>
          </cell>
          <cell r="AL40">
            <v>1.76</v>
          </cell>
          <cell r="AM40">
            <v>20</v>
          </cell>
          <cell r="AN40">
            <v>4274.9180011798571</v>
          </cell>
          <cell r="AO40">
            <v>0</v>
          </cell>
        </row>
        <row r="41">
          <cell r="A41" t="str">
            <v>NBFA</v>
          </cell>
          <cell r="B41">
            <v>2</v>
          </cell>
          <cell r="C41">
            <v>1.76</v>
          </cell>
          <cell r="D41">
            <v>0</v>
          </cell>
          <cell r="E41">
            <v>3729.4068104682669</v>
          </cell>
          <cell r="F41">
            <v>0</v>
          </cell>
          <cell r="H41" t="str">
            <v>NBFA</v>
          </cell>
          <cell r="I41">
            <v>2</v>
          </cell>
          <cell r="J41">
            <v>1.76</v>
          </cell>
          <cell r="K41">
            <v>0</v>
          </cell>
          <cell r="L41">
            <v>3685.5160038177451</v>
          </cell>
          <cell r="M41">
            <v>0</v>
          </cell>
          <cell r="O41" t="str">
            <v>NBFA</v>
          </cell>
          <cell r="P41">
            <v>2</v>
          </cell>
          <cell r="Q41">
            <v>1.76</v>
          </cell>
          <cell r="R41">
            <v>10.903999999999996</v>
          </cell>
          <cell r="S41">
            <v>4017.4254733621101</v>
          </cell>
          <cell r="T41">
            <v>0</v>
          </cell>
          <cell r="V41" t="str">
            <v>NBFA</v>
          </cell>
          <cell r="W41">
            <v>2</v>
          </cell>
          <cell r="X41">
            <v>1.76</v>
          </cell>
          <cell r="Y41">
            <v>10.903999999999996</v>
          </cell>
          <cell r="Z41">
            <v>4100.3062599328532</v>
          </cell>
          <cell r="AA41">
            <v>0</v>
          </cell>
          <cell r="AC41" t="str">
            <v>NBFA</v>
          </cell>
          <cell r="AD41">
            <v>2</v>
          </cell>
          <cell r="AE41">
            <v>1.76</v>
          </cell>
          <cell r="AF41">
            <v>10.903999999999996</v>
          </cell>
          <cell r="AG41">
            <v>3974.160975040767</v>
          </cell>
          <cell r="AH41">
            <v>0</v>
          </cell>
          <cell r="AJ41" t="str">
            <v>NBFA</v>
          </cell>
          <cell r="AK41">
            <v>2</v>
          </cell>
          <cell r="AL41">
            <v>1.76</v>
          </cell>
          <cell r="AM41">
            <v>10.903999999999996</v>
          </cell>
          <cell r="AN41">
            <v>4285.8220011798567</v>
          </cell>
          <cell r="AO41">
            <v>0</v>
          </cell>
        </row>
        <row r="42">
          <cell r="A42" t="str">
            <v>PTC</v>
          </cell>
          <cell r="B42">
            <v>2</v>
          </cell>
          <cell r="C42">
            <v>2.0499999999999998</v>
          </cell>
          <cell r="D42">
            <v>55.91</v>
          </cell>
          <cell r="E42">
            <v>3785.3168104682668</v>
          </cell>
          <cell r="F42">
            <v>55.91</v>
          </cell>
          <cell r="H42" t="str">
            <v>PTC</v>
          </cell>
          <cell r="I42">
            <v>2</v>
          </cell>
          <cell r="J42">
            <v>2.0499999999999998</v>
          </cell>
          <cell r="K42">
            <v>20.239999999999998</v>
          </cell>
          <cell r="L42">
            <v>3705.7560038177448</v>
          </cell>
          <cell r="M42">
            <v>20.239999999999998</v>
          </cell>
          <cell r="O42" t="str">
            <v>PTC</v>
          </cell>
          <cell r="P42">
            <v>2</v>
          </cell>
          <cell r="Q42">
            <v>2.0499999999999998</v>
          </cell>
          <cell r="R42">
            <v>0</v>
          </cell>
          <cell r="S42">
            <v>4017.4254733621101</v>
          </cell>
          <cell r="T42">
            <v>0</v>
          </cell>
          <cell r="V42" t="str">
            <v>PTC</v>
          </cell>
          <cell r="W42">
            <v>2</v>
          </cell>
          <cell r="X42">
            <v>2.0499999999999998</v>
          </cell>
          <cell r="Y42">
            <v>0</v>
          </cell>
          <cell r="Z42">
            <v>4100.3062599328532</v>
          </cell>
          <cell r="AA42">
            <v>0</v>
          </cell>
          <cell r="AC42" t="str">
            <v>PTC</v>
          </cell>
          <cell r="AD42">
            <v>2</v>
          </cell>
          <cell r="AE42">
            <v>2.0499999999999998</v>
          </cell>
          <cell r="AF42">
            <v>0</v>
          </cell>
          <cell r="AG42">
            <v>3974.160975040767</v>
          </cell>
          <cell r="AH42">
            <v>0</v>
          </cell>
          <cell r="AJ42" t="str">
            <v>PTC</v>
          </cell>
          <cell r="AK42">
            <v>2</v>
          </cell>
          <cell r="AL42">
            <v>2.0499999999999998</v>
          </cell>
          <cell r="AM42">
            <v>0</v>
          </cell>
          <cell r="AN42">
            <v>4285.8220011798567</v>
          </cell>
          <cell r="AO42">
            <v>0</v>
          </cell>
        </row>
        <row r="43">
          <cell r="A43" t="str">
            <v>Gridco</v>
          </cell>
          <cell r="B43">
            <v>2</v>
          </cell>
          <cell r="C43">
            <v>2.2799999999999998</v>
          </cell>
          <cell r="D43">
            <v>0</v>
          </cell>
          <cell r="E43">
            <v>3785.3168104682668</v>
          </cell>
          <cell r="F43">
            <v>0</v>
          </cell>
          <cell r="H43" t="str">
            <v>Gridco</v>
          </cell>
          <cell r="I43">
            <v>2</v>
          </cell>
          <cell r="J43">
            <v>2.2799999999999998</v>
          </cell>
          <cell r="K43">
            <v>0</v>
          </cell>
          <cell r="L43">
            <v>3705.7560038177448</v>
          </cell>
          <cell r="M43">
            <v>0</v>
          </cell>
          <cell r="O43" t="str">
            <v>Gridco</v>
          </cell>
          <cell r="P43">
            <v>2</v>
          </cell>
          <cell r="Q43">
            <v>2.2799999999999998</v>
          </cell>
          <cell r="R43">
            <v>0</v>
          </cell>
          <cell r="S43">
            <v>4017.4254733621101</v>
          </cell>
          <cell r="T43">
            <v>0</v>
          </cell>
          <cell r="V43" t="str">
            <v>Gridco</v>
          </cell>
          <cell r="W43">
            <v>2</v>
          </cell>
          <cell r="X43">
            <v>2.2799999999999998</v>
          </cell>
          <cell r="Y43">
            <v>0</v>
          </cell>
          <cell r="Z43">
            <v>4100.3062599328532</v>
          </cell>
          <cell r="AA43">
            <v>0</v>
          </cell>
          <cell r="AC43" t="str">
            <v>Gridco</v>
          </cell>
          <cell r="AD43">
            <v>2</v>
          </cell>
          <cell r="AE43">
            <v>2.2799999999999998</v>
          </cell>
          <cell r="AF43">
            <v>0</v>
          </cell>
          <cell r="AG43">
            <v>3974.160975040767</v>
          </cell>
          <cell r="AH43">
            <v>0</v>
          </cell>
          <cell r="AJ43" t="str">
            <v>Gridco</v>
          </cell>
          <cell r="AK43">
            <v>2</v>
          </cell>
          <cell r="AL43">
            <v>2.2799999999999998</v>
          </cell>
          <cell r="AM43">
            <v>0</v>
          </cell>
          <cell r="AN43">
            <v>4285.8220011798567</v>
          </cell>
          <cell r="AO43">
            <v>0</v>
          </cell>
        </row>
        <row r="44">
          <cell r="A44" t="str">
            <v>RCL</v>
          </cell>
          <cell r="B44">
            <v>2</v>
          </cell>
          <cell r="C44">
            <v>2.46</v>
          </cell>
          <cell r="D44">
            <v>2</v>
          </cell>
          <cell r="E44">
            <v>3787.3168104682668</v>
          </cell>
          <cell r="F44">
            <v>2</v>
          </cell>
          <cell r="H44" t="str">
            <v>RCL</v>
          </cell>
          <cell r="I44">
            <v>2</v>
          </cell>
          <cell r="J44">
            <v>2.46</v>
          </cell>
          <cell r="K44">
            <v>2</v>
          </cell>
          <cell r="L44">
            <v>3707.7560038177448</v>
          </cell>
          <cell r="M44">
            <v>2</v>
          </cell>
          <cell r="O44" t="str">
            <v>RCL</v>
          </cell>
          <cell r="P44">
            <v>2</v>
          </cell>
          <cell r="Q44">
            <v>2.46</v>
          </cell>
          <cell r="R44">
            <v>2</v>
          </cell>
          <cell r="S44">
            <v>4019.4254733621101</v>
          </cell>
          <cell r="T44">
            <v>0</v>
          </cell>
          <cell r="V44" t="str">
            <v>RCL</v>
          </cell>
          <cell r="W44">
            <v>2</v>
          </cell>
          <cell r="X44">
            <v>2.46</v>
          </cell>
          <cell r="Y44">
            <v>2</v>
          </cell>
          <cell r="Z44">
            <v>4102.3062599328532</v>
          </cell>
          <cell r="AA44">
            <v>0</v>
          </cell>
          <cell r="AC44" t="str">
            <v>RCL</v>
          </cell>
          <cell r="AD44">
            <v>2</v>
          </cell>
          <cell r="AE44">
            <v>2.46</v>
          </cell>
          <cell r="AF44">
            <v>2</v>
          </cell>
          <cell r="AG44">
            <v>3976.160975040767</v>
          </cell>
          <cell r="AH44">
            <v>0</v>
          </cell>
          <cell r="AJ44" t="str">
            <v>RCL</v>
          </cell>
          <cell r="AK44">
            <v>2</v>
          </cell>
          <cell r="AL44">
            <v>2.46</v>
          </cell>
          <cell r="AM44">
            <v>2</v>
          </cell>
          <cell r="AN44">
            <v>4287.8220011798567</v>
          </cell>
          <cell r="AO44">
            <v>0</v>
          </cell>
        </row>
        <row r="45">
          <cell r="A45" t="str">
            <v>LVS</v>
          </cell>
          <cell r="B45">
            <v>2</v>
          </cell>
          <cell r="C45">
            <v>2.46</v>
          </cell>
          <cell r="D45">
            <v>0</v>
          </cell>
          <cell r="E45">
            <v>3787.3168104682668</v>
          </cell>
          <cell r="F45">
            <v>0</v>
          </cell>
          <cell r="H45" t="str">
            <v>LVS</v>
          </cell>
          <cell r="I45">
            <v>2</v>
          </cell>
          <cell r="J45">
            <v>2.46</v>
          </cell>
          <cell r="K45">
            <v>0</v>
          </cell>
          <cell r="L45">
            <v>3707.7560038177448</v>
          </cell>
          <cell r="M45">
            <v>0</v>
          </cell>
          <cell r="O45" t="str">
            <v>LVS</v>
          </cell>
          <cell r="P45">
            <v>2</v>
          </cell>
          <cell r="Q45">
            <v>2.46</v>
          </cell>
          <cell r="R45">
            <v>0</v>
          </cell>
          <cell r="S45">
            <v>4019.4254733621101</v>
          </cell>
          <cell r="T45">
            <v>0</v>
          </cell>
          <cell r="V45" t="str">
            <v>LVS</v>
          </cell>
          <cell r="W45">
            <v>2</v>
          </cell>
          <cell r="X45">
            <v>2.46</v>
          </cell>
          <cell r="Y45">
            <v>0</v>
          </cell>
          <cell r="Z45">
            <v>4102.3062599328532</v>
          </cell>
          <cell r="AA45">
            <v>0</v>
          </cell>
          <cell r="AC45" t="str">
            <v>LVS</v>
          </cell>
          <cell r="AD45">
            <v>2</v>
          </cell>
          <cell r="AE45">
            <v>2.46</v>
          </cell>
          <cell r="AF45">
            <v>0</v>
          </cell>
          <cell r="AG45">
            <v>3976.160975040767</v>
          </cell>
          <cell r="AH45">
            <v>0</v>
          </cell>
          <cell r="AJ45" t="str">
            <v>LVS</v>
          </cell>
          <cell r="AK45">
            <v>2</v>
          </cell>
          <cell r="AL45">
            <v>2.46</v>
          </cell>
          <cell r="AM45">
            <v>0</v>
          </cell>
          <cell r="AN45">
            <v>4287.8220011798567</v>
          </cell>
          <cell r="AO45">
            <v>0</v>
          </cell>
        </row>
      </sheetData>
      <sheetData sheetId="35" refreshError="1">
        <row r="11">
          <cell r="A11" t="str">
            <v>APGPCL Station II</v>
          </cell>
          <cell r="B11">
            <v>1</v>
          </cell>
          <cell r="C11">
            <v>0.97</v>
          </cell>
          <cell r="D11">
            <v>28.25</v>
          </cell>
          <cell r="E11">
            <v>28.25</v>
          </cell>
          <cell r="F11">
            <v>28.25</v>
          </cell>
          <cell r="H11" t="str">
            <v>APGPCL Station II</v>
          </cell>
          <cell r="I11">
            <v>1</v>
          </cell>
          <cell r="J11">
            <v>0.97</v>
          </cell>
          <cell r="K11">
            <v>28.25</v>
          </cell>
          <cell r="L11">
            <v>28.25</v>
          </cell>
          <cell r="M11">
            <v>28.25</v>
          </cell>
          <cell r="O11" t="str">
            <v>APGPCL Station II</v>
          </cell>
          <cell r="P11">
            <v>1</v>
          </cell>
          <cell r="Q11">
            <v>0.97</v>
          </cell>
          <cell r="R11">
            <v>28.25</v>
          </cell>
          <cell r="S11">
            <v>28.25</v>
          </cell>
          <cell r="T11">
            <v>28.25</v>
          </cell>
          <cell r="V11" t="str">
            <v>APGPCL Station II</v>
          </cell>
          <cell r="W11">
            <v>1</v>
          </cell>
          <cell r="X11">
            <v>0.97</v>
          </cell>
          <cell r="Y11">
            <v>29</v>
          </cell>
          <cell r="Z11">
            <v>29</v>
          </cell>
          <cell r="AA11">
            <v>29</v>
          </cell>
          <cell r="AC11" t="str">
            <v>APGPCL Station II</v>
          </cell>
          <cell r="AD11">
            <v>1</v>
          </cell>
          <cell r="AE11">
            <v>0.97</v>
          </cell>
          <cell r="AF11">
            <v>29</v>
          </cell>
          <cell r="AG11">
            <v>29</v>
          </cell>
          <cell r="AH11">
            <v>29</v>
          </cell>
          <cell r="AJ11" t="str">
            <v>APGPCL Station II</v>
          </cell>
          <cell r="AK11">
            <v>1</v>
          </cell>
          <cell r="AL11">
            <v>0.97</v>
          </cell>
          <cell r="AM11">
            <v>0</v>
          </cell>
          <cell r="AN11">
            <v>0</v>
          </cell>
          <cell r="AO11">
            <v>0</v>
          </cell>
          <cell r="AQ11" t="str">
            <v>APGPCL Station II</v>
          </cell>
          <cell r="AR11">
            <v>1</v>
          </cell>
          <cell r="AS11">
            <v>0.97</v>
          </cell>
          <cell r="AT11">
            <v>29</v>
          </cell>
          <cell r="AU11">
            <v>29</v>
          </cell>
          <cell r="AV11">
            <v>29</v>
          </cell>
          <cell r="AX11" t="str">
            <v>APGPCL Station II</v>
          </cell>
          <cell r="AY11">
            <v>1</v>
          </cell>
          <cell r="AZ11">
            <v>0.97</v>
          </cell>
          <cell r="BA11">
            <v>28.25</v>
          </cell>
          <cell r="BB11">
            <v>28.25</v>
          </cell>
          <cell r="BC11">
            <v>28.25</v>
          </cell>
          <cell r="BE11" t="str">
            <v>APGPCL Station II</v>
          </cell>
          <cell r="BF11">
            <v>1</v>
          </cell>
          <cell r="BG11">
            <v>0.97</v>
          </cell>
          <cell r="BH11">
            <v>29</v>
          </cell>
          <cell r="BI11">
            <v>29</v>
          </cell>
          <cell r="BJ11">
            <v>29</v>
          </cell>
          <cell r="BL11" t="str">
            <v>APGPCL Station II</v>
          </cell>
          <cell r="BM11">
            <v>1</v>
          </cell>
          <cell r="BN11">
            <v>0.97</v>
          </cell>
          <cell r="BO11">
            <v>29</v>
          </cell>
          <cell r="BP11">
            <v>29</v>
          </cell>
          <cell r="BQ11">
            <v>29</v>
          </cell>
          <cell r="BS11" t="str">
            <v>APGPCL Station II</v>
          </cell>
          <cell r="BT11">
            <v>1</v>
          </cell>
          <cell r="BU11">
            <v>0.97</v>
          </cell>
          <cell r="BV11">
            <v>26.25</v>
          </cell>
          <cell r="BW11">
            <v>26.25</v>
          </cell>
          <cell r="BX11">
            <v>26.25</v>
          </cell>
          <cell r="BZ11" t="str">
            <v>APGPCL Station II</v>
          </cell>
          <cell r="CA11">
            <v>1</v>
          </cell>
          <cell r="CB11">
            <v>0.97</v>
          </cell>
          <cell r="CC11">
            <v>29</v>
          </cell>
          <cell r="CD11">
            <v>29</v>
          </cell>
          <cell r="CE11">
            <v>29</v>
          </cell>
        </row>
        <row r="12">
          <cell r="A12" t="str">
            <v>APGPCL Station I</v>
          </cell>
          <cell r="B12">
            <v>1</v>
          </cell>
          <cell r="C12">
            <v>1.39</v>
          </cell>
          <cell r="D12">
            <v>9</v>
          </cell>
          <cell r="E12">
            <v>37.25</v>
          </cell>
          <cell r="F12">
            <v>9</v>
          </cell>
          <cell r="H12" t="str">
            <v>APGPCL Station I</v>
          </cell>
          <cell r="I12">
            <v>1</v>
          </cell>
          <cell r="J12">
            <v>1.39</v>
          </cell>
          <cell r="K12">
            <v>9</v>
          </cell>
          <cell r="L12">
            <v>37.25</v>
          </cell>
          <cell r="M12">
            <v>9</v>
          </cell>
          <cell r="O12" t="str">
            <v>APGPCL Station I</v>
          </cell>
          <cell r="P12">
            <v>1</v>
          </cell>
          <cell r="Q12">
            <v>1.39</v>
          </cell>
          <cell r="R12">
            <v>4.5</v>
          </cell>
          <cell r="S12">
            <v>32.75</v>
          </cell>
          <cell r="T12">
            <v>4.5</v>
          </cell>
          <cell r="V12" t="str">
            <v>APGPCL Station I</v>
          </cell>
          <cell r="W12">
            <v>1</v>
          </cell>
          <cell r="X12">
            <v>1.39</v>
          </cell>
          <cell r="Y12">
            <v>9.3000000000000007</v>
          </cell>
          <cell r="Z12">
            <v>38.299999999999997</v>
          </cell>
          <cell r="AA12">
            <v>9.3000000000000007</v>
          </cell>
          <cell r="AC12" t="str">
            <v>APGPCL Station I</v>
          </cell>
          <cell r="AD12">
            <v>1</v>
          </cell>
          <cell r="AE12">
            <v>1.39</v>
          </cell>
          <cell r="AF12">
            <v>9.3000000000000007</v>
          </cell>
          <cell r="AG12">
            <v>38.299999999999997</v>
          </cell>
          <cell r="AH12">
            <v>9.3000000000000007</v>
          </cell>
          <cell r="AJ12" t="str">
            <v>APGPCL Station I</v>
          </cell>
          <cell r="AK12">
            <v>1</v>
          </cell>
          <cell r="AL12">
            <v>1.39</v>
          </cell>
          <cell r="AM12">
            <v>9</v>
          </cell>
          <cell r="AN12">
            <v>9</v>
          </cell>
          <cell r="AO12">
            <v>9</v>
          </cell>
          <cell r="AQ12" t="str">
            <v>APGPCL Station I</v>
          </cell>
          <cell r="AR12">
            <v>1</v>
          </cell>
          <cell r="AS12">
            <v>1.39</v>
          </cell>
          <cell r="AT12">
            <v>9.3000000000000007</v>
          </cell>
          <cell r="AU12">
            <v>38.299999999999997</v>
          </cell>
          <cell r="AV12">
            <v>9.3000000000000007</v>
          </cell>
          <cell r="AX12" t="str">
            <v>APGPCL Station I</v>
          </cell>
          <cell r="AY12">
            <v>1</v>
          </cell>
          <cell r="AZ12">
            <v>1.39</v>
          </cell>
          <cell r="BA12">
            <v>9</v>
          </cell>
          <cell r="BB12">
            <v>37.25</v>
          </cell>
          <cell r="BC12">
            <v>9</v>
          </cell>
          <cell r="BE12" t="str">
            <v>APGPCL Station I</v>
          </cell>
          <cell r="BF12">
            <v>1</v>
          </cell>
          <cell r="BG12">
            <v>1.39</v>
          </cell>
          <cell r="BH12">
            <v>9.3000000000000007</v>
          </cell>
          <cell r="BI12">
            <v>38.299999999999997</v>
          </cell>
          <cell r="BJ12">
            <v>9.3000000000000007</v>
          </cell>
          <cell r="BL12" t="str">
            <v>APGPCL Station I</v>
          </cell>
          <cell r="BM12">
            <v>1</v>
          </cell>
          <cell r="BN12">
            <v>1.39</v>
          </cell>
          <cell r="BO12">
            <v>9.3000000000000007</v>
          </cell>
          <cell r="BP12">
            <v>38.299999999999997</v>
          </cell>
          <cell r="BQ12">
            <v>9.3000000000000007</v>
          </cell>
          <cell r="BS12" t="str">
            <v>APGPCL Station I</v>
          </cell>
          <cell r="BT12">
            <v>1</v>
          </cell>
          <cell r="BU12">
            <v>1.39</v>
          </cell>
          <cell r="BV12">
            <v>8.4</v>
          </cell>
          <cell r="BW12">
            <v>34.65</v>
          </cell>
          <cell r="BX12">
            <v>8.4</v>
          </cell>
          <cell r="BZ12" t="str">
            <v>APGPCL Station I</v>
          </cell>
          <cell r="CA12">
            <v>1</v>
          </cell>
          <cell r="CB12">
            <v>1.39</v>
          </cell>
          <cell r="CC12">
            <v>9.3000000000000007</v>
          </cell>
          <cell r="CD12">
            <v>38.299999999999997</v>
          </cell>
          <cell r="CE12">
            <v>9.3000000000000007</v>
          </cell>
        </row>
        <row r="13">
          <cell r="A13" t="str">
            <v>NPC-MAPS</v>
          </cell>
          <cell r="B13">
            <v>1</v>
          </cell>
          <cell r="C13">
            <v>2.2789520205623948</v>
          </cell>
          <cell r="D13">
            <v>11.74</v>
          </cell>
          <cell r="E13">
            <v>48.99</v>
          </cell>
          <cell r="F13">
            <v>11.74</v>
          </cell>
          <cell r="H13" t="str">
            <v>NPC-MAPS</v>
          </cell>
          <cell r="I13">
            <v>1</v>
          </cell>
          <cell r="J13">
            <v>2.2789520205623948</v>
          </cell>
          <cell r="K13">
            <v>12.01</v>
          </cell>
          <cell r="L13">
            <v>49.26</v>
          </cell>
          <cell r="M13">
            <v>12.01</v>
          </cell>
          <cell r="O13" t="str">
            <v>NPC-MAPS</v>
          </cell>
          <cell r="P13">
            <v>1</v>
          </cell>
          <cell r="Q13">
            <v>2.2789520205623948</v>
          </cell>
          <cell r="R13">
            <v>11.74</v>
          </cell>
          <cell r="S13">
            <v>44.49</v>
          </cell>
          <cell r="T13">
            <v>11.74</v>
          </cell>
          <cell r="V13" t="str">
            <v>NPC-MAPS</v>
          </cell>
          <cell r="W13">
            <v>1</v>
          </cell>
          <cell r="X13">
            <v>2.2789520205623948</v>
          </cell>
          <cell r="Y13">
            <v>9.66</v>
          </cell>
          <cell r="Z13">
            <v>47.959999999999994</v>
          </cell>
          <cell r="AA13">
            <v>9.66</v>
          </cell>
          <cell r="AC13" t="str">
            <v>NPC-MAPS</v>
          </cell>
          <cell r="AD13">
            <v>1</v>
          </cell>
          <cell r="AE13">
            <v>2.2789520205623948</v>
          </cell>
          <cell r="AF13">
            <v>12.01</v>
          </cell>
          <cell r="AG13">
            <v>50.309999999999995</v>
          </cell>
          <cell r="AH13">
            <v>12.01</v>
          </cell>
          <cell r="AJ13" t="str">
            <v>NPC-MAPS</v>
          </cell>
          <cell r="AK13">
            <v>1</v>
          </cell>
          <cell r="AL13">
            <v>2.2789520205623948</v>
          </cell>
          <cell r="AM13">
            <v>11.74</v>
          </cell>
          <cell r="AN13">
            <v>20.740000000000002</v>
          </cell>
          <cell r="AO13">
            <v>11.74</v>
          </cell>
          <cell r="AQ13" t="str">
            <v>NPC-MAPS</v>
          </cell>
          <cell r="AR13">
            <v>1</v>
          </cell>
          <cell r="AS13">
            <v>2.2789520205623948</v>
          </cell>
          <cell r="AT13">
            <v>12.01</v>
          </cell>
          <cell r="AU13">
            <v>50.309999999999995</v>
          </cell>
          <cell r="AV13">
            <v>12.01</v>
          </cell>
          <cell r="AX13" t="str">
            <v>NPC-MAPS</v>
          </cell>
          <cell r="AY13">
            <v>1</v>
          </cell>
          <cell r="AZ13">
            <v>2.2789520205623948</v>
          </cell>
          <cell r="BA13">
            <v>11.74</v>
          </cell>
          <cell r="BB13">
            <v>48.99</v>
          </cell>
          <cell r="BC13">
            <v>11.74</v>
          </cell>
          <cell r="BE13" t="str">
            <v>NPC-MAPS</v>
          </cell>
          <cell r="BF13">
            <v>1</v>
          </cell>
          <cell r="BG13">
            <v>2.2789520205623948</v>
          </cell>
          <cell r="BH13">
            <v>12.01</v>
          </cell>
          <cell r="BI13">
            <v>50.309999999999995</v>
          </cell>
          <cell r="BJ13">
            <v>12.01</v>
          </cell>
          <cell r="BL13" t="str">
            <v>NPC-MAPS</v>
          </cell>
          <cell r="BM13">
            <v>1</v>
          </cell>
          <cell r="BN13">
            <v>2.2789520205623948</v>
          </cell>
          <cell r="BO13">
            <v>11.74</v>
          </cell>
          <cell r="BP13">
            <v>50.04</v>
          </cell>
          <cell r="BQ13">
            <v>11.74</v>
          </cell>
          <cell r="BS13" t="str">
            <v>NPC-MAPS</v>
          </cell>
          <cell r="BT13">
            <v>1</v>
          </cell>
          <cell r="BU13">
            <v>2.2789520205623948</v>
          </cell>
          <cell r="BV13">
            <v>11.11</v>
          </cell>
          <cell r="BW13">
            <v>45.76</v>
          </cell>
          <cell r="BX13">
            <v>11.11</v>
          </cell>
          <cell r="BZ13" t="str">
            <v>NPC-MAPS</v>
          </cell>
          <cell r="CA13">
            <v>1</v>
          </cell>
          <cell r="CB13">
            <v>2.2789520205623948</v>
          </cell>
          <cell r="CC13">
            <v>12.01</v>
          </cell>
          <cell r="CD13">
            <v>50.309999999999995</v>
          </cell>
          <cell r="CE13">
            <v>12.01</v>
          </cell>
        </row>
        <row r="14">
          <cell r="A14" t="str">
            <v>Non Conventional</v>
          </cell>
          <cell r="B14">
            <v>1</v>
          </cell>
          <cell r="C14">
            <v>2.3046214761376245</v>
          </cell>
          <cell r="D14">
            <v>136.65</v>
          </cell>
          <cell r="E14">
            <v>185.64000000000001</v>
          </cell>
          <cell r="F14">
            <v>136.65</v>
          </cell>
          <cell r="H14" t="str">
            <v>Non Conventional</v>
          </cell>
          <cell r="I14">
            <v>1</v>
          </cell>
          <cell r="J14">
            <v>2.3046214761376245</v>
          </cell>
          <cell r="K14">
            <v>137.22</v>
          </cell>
          <cell r="L14">
            <v>186.48</v>
          </cell>
          <cell r="M14">
            <v>137.22</v>
          </cell>
          <cell r="O14" t="str">
            <v>Non Conventional</v>
          </cell>
          <cell r="P14">
            <v>1</v>
          </cell>
          <cell r="Q14">
            <v>2.3046214761376245</v>
          </cell>
          <cell r="R14">
            <v>140.12</v>
          </cell>
          <cell r="S14">
            <v>184.61</v>
          </cell>
          <cell r="T14">
            <v>140.12</v>
          </cell>
          <cell r="V14" t="str">
            <v>Non Conventional</v>
          </cell>
          <cell r="W14">
            <v>1</v>
          </cell>
          <cell r="X14">
            <v>2.3046214761376245</v>
          </cell>
          <cell r="Y14">
            <v>133.34</v>
          </cell>
          <cell r="Z14">
            <v>181.3</v>
          </cell>
          <cell r="AA14">
            <v>133.34</v>
          </cell>
          <cell r="AC14" t="str">
            <v>Non Conventional</v>
          </cell>
          <cell r="AD14">
            <v>1</v>
          </cell>
          <cell r="AE14">
            <v>2.3046214761376245</v>
          </cell>
          <cell r="AF14">
            <v>140.52000000000001</v>
          </cell>
          <cell r="AG14">
            <v>190.83</v>
          </cell>
          <cell r="AH14">
            <v>140.52000000000001</v>
          </cell>
          <cell r="AJ14" t="str">
            <v>Non Conventional</v>
          </cell>
          <cell r="AK14">
            <v>1</v>
          </cell>
          <cell r="AL14">
            <v>2.3046214761376245</v>
          </cell>
          <cell r="AM14">
            <v>140.19999999999999</v>
          </cell>
          <cell r="AN14">
            <v>160.94</v>
          </cell>
          <cell r="AO14">
            <v>140.19999999999999</v>
          </cell>
          <cell r="AQ14" t="str">
            <v>Non Conventional</v>
          </cell>
          <cell r="AR14">
            <v>1</v>
          </cell>
          <cell r="AS14">
            <v>2.3046214761376245</v>
          </cell>
          <cell r="AT14">
            <v>141.38999999999999</v>
          </cell>
          <cell r="AU14">
            <v>191.7</v>
          </cell>
          <cell r="AV14">
            <v>141.38999999999999</v>
          </cell>
          <cell r="AX14" t="str">
            <v>Non Conventional</v>
          </cell>
          <cell r="AY14">
            <v>1</v>
          </cell>
          <cell r="AZ14">
            <v>2.3046214761376245</v>
          </cell>
          <cell r="BA14">
            <v>152.29</v>
          </cell>
          <cell r="BB14">
            <v>201.28</v>
          </cell>
          <cell r="BC14">
            <v>152.29</v>
          </cell>
          <cell r="BE14" t="str">
            <v>Non Conventional</v>
          </cell>
          <cell r="BF14">
            <v>1</v>
          </cell>
          <cell r="BG14">
            <v>2.3046214761376245</v>
          </cell>
          <cell r="BH14">
            <v>161.1</v>
          </cell>
          <cell r="BI14">
            <v>211.41</v>
          </cell>
          <cell r="BJ14">
            <v>161.1</v>
          </cell>
          <cell r="BL14" t="str">
            <v>Non Conventional</v>
          </cell>
          <cell r="BM14">
            <v>1</v>
          </cell>
          <cell r="BN14">
            <v>2.3046214761376245</v>
          </cell>
          <cell r="BO14">
            <v>163.51</v>
          </cell>
          <cell r="BP14">
            <v>213.54999999999998</v>
          </cell>
          <cell r="BQ14">
            <v>163.51</v>
          </cell>
          <cell r="BS14" t="str">
            <v>Non Conventional</v>
          </cell>
          <cell r="BT14">
            <v>1</v>
          </cell>
          <cell r="BU14">
            <v>2.3046214761376245</v>
          </cell>
          <cell r="BV14">
            <v>163.07</v>
          </cell>
          <cell r="BW14">
            <v>208.82999999999998</v>
          </cell>
          <cell r="BX14">
            <v>163.07</v>
          </cell>
          <cell r="BZ14" t="str">
            <v>Non Conventional</v>
          </cell>
          <cell r="CA14">
            <v>1</v>
          </cell>
          <cell r="CB14">
            <v>2.3046214761376245</v>
          </cell>
          <cell r="CC14">
            <v>192.59</v>
          </cell>
          <cell r="CD14">
            <v>242.9</v>
          </cell>
          <cell r="CE14">
            <v>192.59</v>
          </cell>
        </row>
        <row r="15">
          <cell r="A15" t="str">
            <v>APGenco Hydel</v>
          </cell>
          <cell r="B15">
            <v>2</v>
          </cell>
          <cell r="C15">
            <v>0</v>
          </cell>
          <cell r="D15">
            <v>132.66</v>
          </cell>
          <cell r="E15">
            <v>318.3</v>
          </cell>
          <cell r="F15">
            <v>132.66</v>
          </cell>
          <cell r="H15" t="str">
            <v>APGenco Hydel</v>
          </cell>
          <cell r="I15">
            <v>2</v>
          </cell>
          <cell r="J15">
            <v>0</v>
          </cell>
          <cell r="K15">
            <v>129.19499999999999</v>
          </cell>
          <cell r="L15">
            <v>315.67499999999995</v>
          </cell>
          <cell r="M15">
            <v>129.19499999999999</v>
          </cell>
          <cell r="O15" t="str">
            <v>APGenco Hydel</v>
          </cell>
          <cell r="P15">
            <v>2</v>
          </cell>
          <cell r="Q15">
            <v>0</v>
          </cell>
          <cell r="R15">
            <v>130.185</v>
          </cell>
          <cell r="S15">
            <v>314.79500000000002</v>
          </cell>
          <cell r="T15">
            <v>130.185</v>
          </cell>
          <cell r="V15" t="str">
            <v>APGenco Hydel</v>
          </cell>
          <cell r="W15">
            <v>2</v>
          </cell>
          <cell r="X15">
            <v>0</v>
          </cell>
          <cell r="Y15">
            <v>287.10000000000002</v>
          </cell>
          <cell r="Z15">
            <v>468.40000000000003</v>
          </cell>
          <cell r="AA15">
            <v>287.10000000000002</v>
          </cell>
          <cell r="AC15" t="str">
            <v>APGenco Hydel</v>
          </cell>
          <cell r="AD15">
            <v>2</v>
          </cell>
          <cell r="AE15">
            <v>0</v>
          </cell>
          <cell r="AF15">
            <v>694.98</v>
          </cell>
          <cell r="AG15">
            <v>885.81000000000006</v>
          </cell>
          <cell r="AH15">
            <v>694.98</v>
          </cell>
          <cell r="AJ15" t="str">
            <v>APGenco Hydel</v>
          </cell>
          <cell r="AK15">
            <v>2</v>
          </cell>
          <cell r="AL15">
            <v>0</v>
          </cell>
          <cell r="AM15">
            <v>1008.3150000000001</v>
          </cell>
          <cell r="AN15">
            <v>1169.2550000000001</v>
          </cell>
          <cell r="AO15">
            <v>1008.3150000000001</v>
          </cell>
          <cell r="AQ15" t="str">
            <v>APGenco Hydel</v>
          </cell>
          <cell r="AR15">
            <v>2</v>
          </cell>
          <cell r="AS15">
            <v>0</v>
          </cell>
          <cell r="AT15">
            <v>1009.3049999999999</v>
          </cell>
          <cell r="AU15">
            <v>1201.0049999999999</v>
          </cell>
          <cell r="AV15">
            <v>1009.3049999999999</v>
          </cell>
          <cell r="AX15" t="str">
            <v>APGenco Hydel</v>
          </cell>
          <cell r="AY15">
            <v>2</v>
          </cell>
          <cell r="AZ15">
            <v>0</v>
          </cell>
          <cell r="BA15">
            <v>798.43499999999995</v>
          </cell>
          <cell r="BB15">
            <v>999.71499999999992</v>
          </cell>
          <cell r="BC15">
            <v>798.43499999999995</v>
          </cell>
          <cell r="BE15" t="str">
            <v>APGenco Hydel</v>
          </cell>
          <cell r="BF15">
            <v>2</v>
          </cell>
          <cell r="BG15">
            <v>0</v>
          </cell>
          <cell r="BH15">
            <v>623.20500000000004</v>
          </cell>
          <cell r="BI15">
            <v>834.61500000000001</v>
          </cell>
          <cell r="BJ15">
            <v>623.20500000000004</v>
          </cell>
          <cell r="BL15" t="str">
            <v>APGenco Hydel</v>
          </cell>
          <cell r="BM15">
            <v>2</v>
          </cell>
          <cell r="BN15">
            <v>0</v>
          </cell>
          <cell r="BO15">
            <v>611.32500000000005</v>
          </cell>
          <cell r="BP15">
            <v>824.875</v>
          </cell>
          <cell r="BQ15">
            <v>611.32500000000005</v>
          </cell>
          <cell r="BS15" t="str">
            <v>APGenco Hydel</v>
          </cell>
          <cell r="BT15">
            <v>2</v>
          </cell>
          <cell r="BU15">
            <v>0</v>
          </cell>
          <cell r="BV15">
            <v>540.54</v>
          </cell>
          <cell r="BW15">
            <v>749.36999999999989</v>
          </cell>
          <cell r="BX15">
            <v>540.54</v>
          </cell>
          <cell r="BZ15" t="str">
            <v>APGenco Hydel</v>
          </cell>
          <cell r="CA15">
            <v>2</v>
          </cell>
          <cell r="CB15">
            <v>0</v>
          </cell>
          <cell r="CC15">
            <v>457.38</v>
          </cell>
          <cell r="CD15">
            <v>700.28</v>
          </cell>
          <cell r="CE15">
            <v>457.38</v>
          </cell>
        </row>
        <row r="16">
          <cell r="A16" t="str">
            <v>Talcher Stage 2</v>
          </cell>
          <cell r="B16">
            <v>2</v>
          </cell>
          <cell r="C16">
            <v>0.49733547227689412</v>
          </cell>
          <cell r="D16">
            <v>128.26396288209608</v>
          </cell>
          <cell r="E16">
            <v>446.56396288209612</v>
          </cell>
          <cell r="F16">
            <v>128.26396288209608</v>
          </cell>
          <cell r="H16" t="str">
            <v>Talcher Stage 2</v>
          </cell>
          <cell r="I16">
            <v>2</v>
          </cell>
          <cell r="J16">
            <v>0.49733547227689412</v>
          </cell>
          <cell r="K16">
            <v>132.5874672489083</v>
          </cell>
          <cell r="L16">
            <v>448.26246724890825</v>
          </cell>
          <cell r="M16">
            <v>132.5874672489083</v>
          </cell>
          <cell r="O16" t="str">
            <v>Talcher Stage 2</v>
          </cell>
          <cell r="P16">
            <v>2</v>
          </cell>
          <cell r="Q16">
            <v>0.49733547227689412</v>
          </cell>
          <cell r="R16">
            <v>161.41082969432318</v>
          </cell>
          <cell r="S16">
            <v>476.2058296943232</v>
          </cell>
          <cell r="T16">
            <v>161.41082969432318</v>
          </cell>
          <cell r="V16" t="str">
            <v>Talcher Stage 2</v>
          </cell>
          <cell r="W16">
            <v>2</v>
          </cell>
          <cell r="X16">
            <v>0.49733547227689412</v>
          </cell>
          <cell r="Y16">
            <v>166.88726855895197</v>
          </cell>
          <cell r="Z16">
            <v>635.28726855895206</v>
          </cell>
          <cell r="AA16">
            <v>166.88726855895197</v>
          </cell>
          <cell r="AC16" t="str">
            <v>Talcher Stage 2</v>
          </cell>
          <cell r="AD16">
            <v>2</v>
          </cell>
          <cell r="AE16">
            <v>0.49733547227689412</v>
          </cell>
          <cell r="AF16">
            <v>196.2870982532751</v>
          </cell>
          <cell r="AG16">
            <v>1082.0970982532751</v>
          </cell>
          <cell r="AH16">
            <v>196.2870982532751</v>
          </cell>
          <cell r="AJ16" t="str">
            <v>Talcher Stage 2</v>
          </cell>
          <cell r="AK16">
            <v>2</v>
          </cell>
          <cell r="AL16">
            <v>0.49733547227689412</v>
          </cell>
          <cell r="AM16">
            <v>189.94595851528385</v>
          </cell>
          <cell r="AN16">
            <v>1359.2009585152839</v>
          </cell>
          <cell r="AO16">
            <v>189.94595851528385</v>
          </cell>
          <cell r="AQ16" t="str">
            <v>Talcher Stage 2</v>
          </cell>
          <cell r="AR16">
            <v>2</v>
          </cell>
          <cell r="AS16">
            <v>0.49733547227689412</v>
          </cell>
          <cell r="AT16">
            <v>132.5874672489083</v>
          </cell>
          <cell r="AU16">
            <v>1333.5924672489082</v>
          </cell>
          <cell r="AV16">
            <v>132.5874672489083</v>
          </cell>
          <cell r="AX16" t="str">
            <v>Talcher Stage 2</v>
          </cell>
          <cell r="AY16">
            <v>2</v>
          </cell>
          <cell r="AZ16">
            <v>0.49733547227689412</v>
          </cell>
          <cell r="BA16">
            <v>128.26396288209608</v>
          </cell>
          <cell r="BB16">
            <v>1127.9789628820961</v>
          </cell>
          <cell r="BC16">
            <v>128.26396288209608</v>
          </cell>
          <cell r="BE16" t="str">
            <v>Talcher Stage 2</v>
          </cell>
          <cell r="BF16">
            <v>2</v>
          </cell>
          <cell r="BG16">
            <v>0.49733547227689412</v>
          </cell>
          <cell r="BH16">
            <v>215.8869847161572</v>
          </cell>
          <cell r="BI16">
            <v>1050.5019847161573</v>
          </cell>
          <cell r="BJ16">
            <v>215.8869847161572</v>
          </cell>
          <cell r="BL16" t="str">
            <v>Talcher Stage 2</v>
          </cell>
          <cell r="BM16">
            <v>2</v>
          </cell>
          <cell r="BN16">
            <v>0.49733547227689412</v>
          </cell>
          <cell r="BO16">
            <v>215.8869847161572</v>
          </cell>
          <cell r="BP16">
            <v>1040.7619847161573</v>
          </cell>
          <cell r="BQ16">
            <v>215.8869847161572</v>
          </cell>
          <cell r="BS16" t="str">
            <v>Talcher Stage 2</v>
          </cell>
          <cell r="BT16">
            <v>2</v>
          </cell>
          <cell r="BU16">
            <v>0.49733547227689412</v>
          </cell>
          <cell r="BV16">
            <v>234.04570305676859</v>
          </cell>
          <cell r="BW16">
            <v>983.41570305676851</v>
          </cell>
          <cell r="BX16">
            <v>234.04570305676859</v>
          </cell>
          <cell r="BZ16" t="str">
            <v>Talcher Stage 2</v>
          </cell>
          <cell r="CA16">
            <v>2</v>
          </cell>
          <cell r="CB16">
            <v>0.49733547227689412</v>
          </cell>
          <cell r="CC16">
            <v>279.58661572052404</v>
          </cell>
          <cell r="CD16">
            <v>979.86661572052401</v>
          </cell>
          <cell r="CE16">
            <v>279.58661572052404</v>
          </cell>
        </row>
        <row r="17">
          <cell r="A17" t="str">
            <v>Talcher Stage 1</v>
          </cell>
          <cell r="B17">
            <v>2</v>
          </cell>
          <cell r="C17">
            <v>0.49912127794189243</v>
          </cell>
          <cell r="D17">
            <v>4.5</v>
          </cell>
          <cell r="E17">
            <v>451.06396288209612</v>
          </cell>
          <cell r="F17">
            <v>4.5</v>
          </cell>
          <cell r="H17" t="str">
            <v>Talcher Stage 1</v>
          </cell>
          <cell r="I17">
            <v>2</v>
          </cell>
          <cell r="J17">
            <v>0.49912127794189243</v>
          </cell>
          <cell r="K17">
            <v>4.6500000000000004</v>
          </cell>
          <cell r="L17">
            <v>452.91246724890823</v>
          </cell>
          <cell r="M17">
            <v>4.6500000000000004</v>
          </cell>
          <cell r="O17" t="str">
            <v>Talcher Stage 1</v>
          </cell>
          <cell r="P17">
            <v>2</v>
          </cell>
          <cell r="Q17">
            <v>0.49912127794189243</v>
          </cell>
          <cell r="R17">
            <v>4.5</v>
          </cell>
          <cell r="S17">
            <v>480.7058296943232</v>
          </cell>
          <cell r="T17">
            <v>4.5</v>
          </cell>
          <cell r="V17" t="str">
            <v>Talcher Stage 1</v>
          </cell>
          <cell r="W17">
            <v>2</v>
          </cell>
          <cell r="X17">
            <v>0.49912127794189243</v>
          </cell>
          <cell r="Y17">
            <v>4.6500000000000004</v>
          </cell>
          <cell r="Z17">
            <v>639.93726855895204</v>
          </cell>
          <cell r="AA17">
            <v>4.6500000000000004</v>
          </cell>
          <cell r="AC17" t="str">
            <v>Talcher Stage 1</v>
          </cell>
          <cell r="AD17">
            <v>2</v>
          </cell>
          <cell r="AE17">
            <v>0.49912127794189243</v>
          </cell>
          <cell r="AF17">
            <v>4.6500000000000004</v>
          </cell>
          <cell r="AG17">
            <v>1086.7470982532752</v>
          </cell>
          <cell r="AH17">
            <v>4.6500000000000004</v>
          </cell>
          <cell r="AJ17" t="str">
            <v>Talcher Stage 1</v>
          </cell>
          <cell r="AK17">
            <v>2</v>
          </cell>
          <cell r="AL17">
            <v>0.49912127794189243</v>
          </cell>
          <cell r="AM17">
            <v>4.5</v>
          </cell>
          <cell r="AN17">
            <v>1363.7009585152839</v>
          </cell>
          <cell r="AO17">
            <v>4.5</v>
          </cell>
          <cell r="AQ17" t="str">
            <v>Talcher Stage 1</v>
          </cell>
          <cell r="AR17">
            <v>2</v>
          </cell>
          <cell r="AS17">
            <v>0.49912127794189243</v>
          </cell>
          <cell r="AT17">
            <v>4.6500000000000004</v>
          </cell>
          <cell r="AU17">
            <v>1338.2424672489083</v>
          </cell>
          <cell r="AV17">
            <v>4.6500000000000004</v>
          </cell>
          <cell r="AX17" t="str">
            <v>Talcher Stage 1</v>
          </cell>
          <cell r="AY17">
            <v>2</v>
          </cell>
          <cell r="AZ17">
            <v>0.49912127794189243</v>
          </cell>
          <cell r="BA17">
            <v>4.5</v>
          </cell>
          <cell r="BB17">
            <v>1132.4789628820961</v>
          </cell>
          <cell r="BC17">
            <v>4.5</v>
          </cell>
          <cell r="BE17" t="str">
            <v>Talcher Stage 1</v>
          </cell>
          <cell r="BF17">
            <v>2</v>
          </cell>
          <cell r="BG17">
            <v>0.49912127794189243</v>
          </cell>
          <cell r="BH17">
            <v>4.6500000000000004</v>
          </cell>
          <cell r="BI17">
            <v>1055.1519847161574</v>
          </cell>
          <cell r="BJ17">
            <v>4.6500000000000004</v>
          </cell>
          <cell r="BL17" t="str">
            <v>Talcher Stage 1</v>
          </cell>
          <cell r="BM17">
            <v>2</v>
          </cell>
          <cell r="BN17">
            <v>0.49912127794189243</v>
          </cell>
          <cell r="BO17">
            <v>4.6500000000000004</v>
          </cell>
          <cell r="BP17">
            <v>1045.4119847161573</v>
          </cell>
          <cell r="BQ17">
            <v>4.6500000000000004</v>
          </cell>
          <cell r="BS17" t="str">
            <v>Talcher Stage 1</v>
          </cell>
          <cell r="BT17">
            <v>2</v>
          </cell>
          <cell r="BU17">
            <v>0.49912127794189243</v>
          </cell>
          <cell r="BV17">
            <v>4.2</v>
          </cell>
          <cell r="BW17">
            <v>987.61570305676855</v>
          </cell>
          <cell r="BX17">
            <v>4.2</v>
          </cell>
          <cell r="BZ17" t="str">
            <v>Talcher Stage 1</v>
          </cell>
          <cell r="CA17">
            <v>2</v>
          </cell>
          <cell r="CB17">
            <v>0.49912127794189243</v>
          </cell>
          <cell r="CC17">
            <v>4.6500000000000004</v>
          </cell>
          <cell r="CD17">
            <v>984.51661572052399</v>
          </cell>
          <cell r="CE17">
            <v>4.6500000000000004</v>
          </cell>
        </row>
        <row r="18">
          <cell r="A18" t="str">
            <v>NLC-I</v>
          </cell>
          <cell r="B18">
            <v>2</v>
          </cell>
          <cell r="C18">
            <v>0.77121808150395588</v>
          </cell>
          <cell r="D18">
            <v>44.28</v>
          </cell>
          <cell r="E18">
            <v>495.34396288209609</v>
          </cell>
          <cell r="F18">
            <v>44.28</v>
          </cell>
          <cell r="H18" t="str">
            <v>NLC-I</v>
          </cell>
          <cell r="I18">
            <v>2</v>
          </cell>
          <cell r="J18">
            <v>0.77121808150395588</v>
          </cell>
          <cell r="K18">
            <v>45.64</v>
          </cell>
          <cell r="L18">
            <v>498.55246724890821</v>
          </cell>
          <cell r="M18">
            <v>45.64</v>
          </cell>
          <cell r="O18" t="str">
            <v>NLC-I</v>
          </cell>
          <cell r="P18">
            <v>2</v>
          </cell>
          <cell r="Q18">
            <v>0.77121808150395588</v>
          </cell>
          <cell r="R18">
            <v>44.28</v>
          </cell>
          <cell r="S18">
            <v>524.98582969432323</v>
          </cell>
          <cell r="T18">
            <v>44.28</v>
          </cell>
          <cell r="V18" t="str">
            <v>NLC-I</v>
          </cell>
          <cell r="W18">
            <v>2</v>
          </cell>
          <cell r="X18">
            <v>0.77121808150395588</v>
          </cell>
          <cell r="Y18">
            <v>41.87</v>
          </cell>
          <cell r="Z18">
            <v>681.80726855895205</v>
          </cell>
          <cell r="AA18">
            <v>41.87</v>
          </cell>
          <cell r="AC18" t="str">
            <v>NLC-I</v>
          </cell>
          <cell r="AD18">
            <v>2</v>
          </cell>
          <cell r="AE18">
            <v>0.77121808150395588</v>
          </cell>
          <cell r="AF18">
            <v>41.72</v>
          </cell>
          <cell r="AG18">
            <v>1128.4670982532753</v>
          </cell>
          <cell r="AH18">
            <v>41.72</v>
          </cell>
          <cell r="AJ18" t="str">
            <v>NLC-I</v>
          </cell>
          <cell r="AK18">
            <v>2</v>
          </cell>
          <cell r="AL18">
            <v>0.77121808150395588</v>
          </cell>
          <cell r="AM18">
            <v>44.28</v>
          </cell>
          <cell r="AN18">
            <v>1407.9809585152839</v>
          </cell>
          <cell r="AO18">
            <v>44.28</v>
          </cell>
          <cell r="AQ18" t="str">
            <v>NLC-I</v>
          </cell>
          <cell r="AR18">
            <v>2</v>
          </cell>
          <cell r="AS18">
            <v>0.77121808150395588</v>
          </cell>
          <cell r="AT18">
            <v>27.86</v>
          </cell>
          <cell r="AU18">
            <v>1366.1024672489082</v>
          </cell>
          <cell r="AV18">
            <v>27.86</v>
          </cell>
          <cell r="AX18" t="str">
            <v>NLC-I</v>
          </cell>
          <cell r="AY18">
            <v>2</v>
          </cell>
          <cell r="AZ18">
            <v>0.77121808150395588</v>
          </cell>
          <cell r="BA18">
            <v>21.24</v>
          </cell>
          <cell r="BB18">
            <v>1153.7189628820961</v>
          </cell>
          <cell r="BC18">
            <v>21.24</v>
          </cell>
          <cell r="BE18" t="str">
            <v>NLC-I</v>
          </cell>
          <cell r="BF18">
            <v>2</v>
          </cell>
          <cell r="BG18">
            <v>0.77121808150395588</v>
          </cell>
          <cell r="BH18">
            <v>39.159999999999997</v>
          </cell>
          <cell r="BI18">
            <v>1094.3119847161574</v>
          </cell>
          <cell r="BJ18">
            <v>39.159999999999997</v>
          </cell>
          <cell r="BL18" t="str">
            <v>NLC-I</v>
          </cell>
          <cell r="BM18">
            <v>2</v>
          </cell>
          <cell r="BN18">
            <v>0.77121808150395588</v>
          </cell>
          <cell r="BO18">
            <v>45.64</v>
          </cell>
          <cell r="BP18">
            <v>1091.0519847161574</v>
          </cell>
          <cell r="BQ18">
            <v>45.64</v>
          </cell>
          <cell r="BS18" t="str">
            <v>NLC-I</v>
          </cell>
          <cell r="BT18">
            <v>2</v>
          </cell>
          <cell r="BU18">
            <v>0.77121808150395588</v>
          </cell>
          <cell r="BV18">
            <v>41.27</v>
          </cell>
          <cell r="BW18">
            <v>1028.8857030567685</v>
          </cell>
          <cell r="BX18">
            <v>41.27</v>
          </cell>
          <cell r="BZ18" t="str">
            <v>NLC-I</v>
          </cell>
          <cell r="CA18">
            <v>2</v>
          </cell>
          <cell r="CB18">
            <v>0.77121808150395588</v>
          </cell>
          <cell r="CC18">
            <v>45.64</v>
          </cell>
          <cell r="CD18">
            <v>1030.1566157205241</v>
          </cell>
          <cell r="CE18">
            <v>45.64</v>
          </cell>
        </row>
        <row r="19">
          <cell r="A19" t="str">
            <v>KTPS- D</v>
          </cell>
          <cell r="B19">
            <v>2</v>
          </cell>
          <cell r="C19">
            <v>0.84033000000000002</v>
          </cell>
          <cell r="D19">
            <v>325.8</v>
          </cell>
          <cell r="E19">
            <v>821.14396288209605</v>
          </cell>
          <cell r="F19">
            <v>325.8</v>
          </cell>
          <cell r="H19" t="str">
            <v>KTPS- D</v>
          </cell>
          <cell r="I19">
            <v>2</v>
          </cell>
          <cell r="J19">
            <v>0.84033000000000002</v>
          </cell>
          <cell r="K19">
            <v>325.8</v>
          </cell>
          <cell r="L19">
            <v>824.35246724890817</v>
          </cell>
          <cell r="M19">
            <v>325.8</v>
          </cell>
          <cell r="O19" t="str">
            <v>KTPS- D</v>
          </cell>
          <cell r="P19">
            <v>2</v>
          </cell>
          <cell r="Q19">
            <v>0.84033000000000002</v>
          </cell>
          <cell r="R19">
            <v>276.02499999999998</v>
          </cell>
          <cell r="S19">
            <v>801.01082969432321</v>
          </cell>
          <cell r="T19">
            <v>276.02499999999998</v>
          </cell>
          <cell r="V19" t="str">
            <v>KTPS- D</v>
          </cell>
          <cell r="W19">
            <v>2</v>
          </cell>
          <cell r="X19">
            <v>0.84033000000000002</v>
          </cell>
          <cell r="Y19">
            <v>280.55</v>
          </cell>
          <cell r="Z19">
            <v>962.357268558952</v>
          </cell>
          <cell r="AA19">
            <v>280.55</v>
          </cell>
          <cell r="AC19" t="str">
            <v>KTPS- D</v>
          </cell>
          <cell r="AD19">
            <v>2</v>
          </cell>
          <cell r="AE19">
            <v>0.84033000000000002</v>
          </cell>
          <cell r="AF19">
            <v>276.02499999999998</v>
          </cell>
          <cell r="AG19">
            <v>1404.4920982532753</v>
          </cell>
          <cell r="AH19">
            <v>276.02499999999998</v>
          </cell>
          <cell r="AJ19" t="str">
            <v>KTPS- D</v>
          </cell>
          <cell r="AK19">
            <v>2</v>
          </cell>
          <cell r="AL19">
            <v>0.84033000000000002</v>
          </cell>
          <cell r="AM19">
            <v>316.75</v>
          </cell>
          <cell r="AN19">
            <v>1724.7309585152839</v>
          </cell>
          <cell r="AO19">
            <v>316.75</v>
          </cell>
          <cell r="AQ19" t="str">
            <v>KTPS- D</v>
          </cell>
          <cell r="AR19">
            <v>2</v>
          </cell>
          <cell r="AS19">
            <v>0.84033000000000002</v>
          </cell>
          <cell r="AT19">
            <v>194.57499999999999</v>
          </cell>
          <cell r="AU19">
            <v>1560.6774672489082</v>
          </cell>
          <cell r="AV19">
            <v>194.57499999999999</v>
          </cell>
          <cell r="AX19" t="str">
            <v>KTPS- D</v>
          </cell>
          <cell r="AY19">
            <v>2</v>
          </cell>
          <cell r="AZ19">
            <v>0.84033000000000002</v>
          </cell>
          <cell r="BA19">
            <v>181</v>
          </cell>
          <cell r="BB19">
            <v>1334.7189628820961</v>
          </cell>
          <cell r="BC19">
            <v>181</v>
          </cell>
          <cell r="BE19" t="str">
            <v>KTPS- D</v>
          </cell>
          <cell r="BF19">
            <v>2</v>
          </cell>
          <cell r="BG19">
            <v>0.84033000000000002</v>
          </cell>
          <cell r="BH19">
            <v>312.22500000000002</v>
          </cell>
          <cell r="BI19">
            <v>1406.5369847161573</v>
          </cell>
          <cell r="BJ19">
            <v>312.22500000000002</v>
          </cell>
          <cell r="BL19" t="str">
            <v>KTPS- D</v>
          </cell>
          <cell r="BM19">
            <v>2</v>
          </cell>
          <cell r="BN19">
            <v>0.84033000000000002</v>
          </cell>
          <cell r="BO19">
            <v>316.75</v>
          </cell>
          <cell r="BP19">
            <v>1407.8019847161574</v>
          </cell>
          <cell r="BQ19">
            <v>316.75</v>
          </cell>
          <cell r="BS19" t="str">
            <v>KTPS- D</v>
          </cell>
          <cell r="BT19">
            <v>2</v>
          </cell>
          <cell r="BU19">
            <v>0.84033000000000002</v>
          </cell>
          <cell r="BV19">
            <v>298.64999999999998</v>
          </cell>
          <cell r="BW19">
            <v>1327.5357030567684</v>
          </cell>
          <cell r="BX19">
            <v>298.64999999999998</v>
          </cell>
          <cell r="BZ19" t="str">
            <v>KTPS- D</v>
          </cell>
          <cell r="CA19">
            <v>2</v>
          </cell>
          <cell r="CB19">
            <v>0.84033000000000002</v>
          </cell>
          <cell r="CC19">
            <v>316.75</v>
          </cell>
          <cell r="CD19">
            <v>1346.9066157205241</v>
          </cell>
          <cell r="CE19">
            <v>316.75</v>
          </cell>
        </row>
        <row r="20">
          <cell r="A20" t="str">
            <v>NTPC- Simhadri</v>
          </cell>
          <cell r="B20">
            <v>2</v>
          </cell>
          <cell r="C20">
            <v>0.87160000000000004</v>
          </cell>
          <cell r="D20">
            <v>544.64720558882232</v>
          </cell>
          <cell r="E20">
            <v>1365.7911684709184</v>
          </cell>
          <cell r="F20">
            <v>544.64720558882232</v>
          </cell>
          <cell r="H20" t="str">
            <v>NTPC- Simhadri</v>
          </cell>
          <cell r="I20">
            <v>2</v>
          </cell>
          <cell r="J20">
            <v>0.87160000000000004</v>
          </cell>
          <cell r="K20">
            <v>563.42814371257475</v>
          </cell>
          <cell r="L20">
            <v>1387.780610961483</v>
          </cell>
          <cell r="M20">
            <v>563.42814371257475</v>
          </cell>
          <cell r="O20" t="str">
            <v>NTPC- Simhadri</v>
          </cell>
          <cell r="P20">
            <v>2</v>
          </cell>
          <cell r="Q20">
            <v>0.87160000000000004</v>
          </cell>
          <cell r="R20">
            <v>563.42814371257475</v>
          </cell>
          <cell r="S20">
            <v>1364.438973406898</v>
          </cell>
          <cell r="T20">
            <v>563.42814371257475</v>
          </cell>
          <cell r="V20" t="str">
            <v>NTPC- Simhadri</v>
          </cell>
          <cell r="W20">
            <v>2</v>
          </cell>
          <cell r="X20">
            <v>0.87160000000000004</v>
          </cell>
          <cell r="Y20">
            <v>375.61876247504989</v>
          </cell>
          <cell r="Z20">
            <v>1337.9760310340018</v>
          </cell>
          <cell r="AA20">
            <v>375.61876247504989</v>
          </cell>
          <cell r="AC20" t="str">
            <v>NTPC- Simhadri</v>
          </cell>
          <cell r="AD20">
            <v>2</v>
          </cell>
          <cell r="AE20">
            <v>0.87160000000000004</v>
          </cell>
          <cell r="AF20">
            <v>450.74251497005991</v>
          </cell>
          <cell r="AG20">
            <v>1855.2346132233351</v>
          </cell>
          <cell r="AH20">
            <v>450.74251497005991</v>
          </cell>
          <cell r="AJ20" t="str">
            <v>NTPC- Simhadri</v>
          </cell>
          <cell r="AK20">
            <v>2</v>
          </cell>
          <cell r="AL20">
            <v>0.87160000000000004</v>
          </cell>
          <cell r="AM20">
            <v>298.61691616766467</v>
          </cell>
          <cell r="AN20">
            <v>2023.3478746829485</v>
          </cell>
          <cell r="AO20">
            <v>298.61691616766467</v>
          </cell>
          <cell r="AQ20" t="str">
            <v>NTPC- Simhadri</v>
          </cell>
          <cell r="AR20">
            <v>2</v>
          </cell>
          <cell r="AS20">
            <v>0.87160000000000004</v>
          </cell>
          <cell r="AT20">
            <v>572.81861277445103</v>
          </cell>
          <cell r="AU20">
            <v>2133.4960800233594</v>
          </cell>
          <cell r="AV20">
            <v>572.81861277445103</v>
          </cell>
          <cell r="AX20" t="str">
            <v>NTPC- Simhadri</v>
          </cell>
          <cell r="AY20">
            <v>2</v>
          </cell>
          <cell r="AZ20">
            <v>0.87160000000000004</v>
          </cell>
          <cell r="BA20">
            <v>563.42814371257475</v>
          </cell>
          <cell r="BB20">
            <v>1898.1471065946707</v>
          </cell>
          <cell r="BC20">
            <v>563.42814371257475</v>
          </cell>
          <cell r="BE20" t="str">
            <v>NTPC- Simhadri</v>
          </cell>
          <cell r="BF20">
            <v>2</v>
          </cell>
          <cell r="BG20">
            <v>0.87160000000000004</v>
          </cell>
          <cell r="BH20">
            <v>563.42814371257475</v>
          </cell>
          <cell r="BI20">
            <v>1969.965128428732</v>
          </cell>
          <cell r="BJ20">
            <v>563.42814371257475</v>
          </cell>
          <cell r="BL20" t="str">
            <v>NTPC- Simhadri</v>
          </cell>
          <cell r="BM20">
            <v>2</v>
          </cell>
          <cell r="BN20">
            <v>0.87160000000000004</v>
          </cell>
          <cell r="BO20">
            <v>572.81861277445103</v>
          </cell>
          <cell r="BP20">
            <v>1980.6205974906084</v>
          </cell>
          <cell r="BQ20">
            <v>572.81861277445103</v>
          </cell>
          <cell r="BS20" t="str">
            <v>NTPC- Simhadri</v>
          </cell>
          <cell r="BT20">
            <v>2</v>
          </cell>
          <cell r="BU20">
            <v>0.87160000000000004</v>
          </cell>
          <cell r="BV20">
            <v>525.86626746506977</v>
          </cell>
          <cell r="BW20">
            <v>1853.4019705218382</v>
          </cell>
          <cell r="BX20">
            <v>525.86626746506977</v>
          </cell>
          <cell r="BZ20" t="str">
            <v>NTPC- Simhadri</v>
          </cell>
          <cell r="CA20">
            <v>2</v>
          </cell>
          <cell r="CB20">
            <v>0.87160000000000004</v>
          </cell>
          <cell r="CC20">
            <v>574.69670658682628</v>
          </cell>
          <cell r="CD20">
            <v>1921.6033223073505</v>
          </cell>
          <cell r="CE20">
            <v>574.69670658682628</v>
          </cell>
        </row>
        <row r="21">
          <cell r="A21" t="str">
            <v>RTS-B</v>
          </cell>
          <cell r="B21">
            <v>2</v>
          </cell>
          <cell r="C21">
            <v>0.88980000000000004</v>
          </cell>
          <cell r="D21">
            <v>38</v>
          </cell>
          <cell r="E21">
            <v>1403.7911684709184</v>
          </cell>
          <cell r="F21">
            <v>38</v>
          </cell>
          <cell r="H21" t="str">
            <v>RTS-B</v>
          </cell>
          <cell r="I21">
            <v>2</v>
          </cell>
          <cell r="J21">
            <v>0.88980000000000004</v>
          </cell>
          <cell r="K21">
            <v>40</v>
          </cell>
          <cell r="L21">
            <v>1427.780610961483</v>
          </cell>
          <cell r="M21">
            <v>40</v>
          </cell>
          <cell r="O21" t="str">
            <v>RTS-B</v>
          </cell>
          <cell r="P21">
            <v>2</v>
          </cell>
          <cell r="Q21">
            <v>0.88980000000000004</v>
          </cell>
          <cell r="R21">
            <v>36</v>
          </cell>
          <cell r="S21">
            <v>1400.438973406898</v>
          </cell>
          <cell r="T21">
            <v>36</v>
          </cell>
          <cell r="V21" t="str">
            <v>RTS-B</v>
          </cell>
          <cell r="W21">
            <v>2</v>
          </cell>
          <cell r="X21">
            <v>0.88980000000000004</v>
          </cell>
          <cell r="Y21">
            <v>34</v>
          </cell>
          <cell r="Z21">
            <v>1371.9760310340018</v>
          </cell>
          <cell r="AA21">
            <v>34</v>
          </cell>
          <cell r="AC21" t="str">
            <v>RTS-B</v>
          </cell>
          <cell r="AD21">
            <v>2</v>
          </cell>
          <cell r="AE21">
            <v>0.88980000000000004</v>
          </cell>
          <cell r="AF21">
            <v>34</v>
          </cell>
          <cell r="AG21">
            <v>1889.2346132233351</v>
          </cell>
          <cell r="AH21">
            <v>34</v>
          </cell>
          <cell r="AJ21" t="str">
            <v>RTS-B</v>
          </cell>
          <cell r="AK21">
            <v>2</v>
          </cell>
          <cell r="AL21">
            <v>0.88980000000000004</v>
          </cell>
          <cell r="AM21">
            <v>34</v>
          </cell>
          <cell r="AN21">
            <v>2057.3478746829487</v>
          </cell>
          <cell r="AO21">
            <v>34</v>
          </cell>
          <cell r="AQ21" t="str">
            <v>RTS-B</v>
          </cell>
          <cell r="AR21">
            <v>2</v>
          </cell>
          <cell r="AS21">
            <v>0.88980000000000004</v>
          </cell>
          <cell r="AT21">
            <v>32.76</v>
          </cell>
          <cell r="AU21">
            <v>2166.2560800233596</v>
          </cell>
          <cell r="AV21">
            <v>32.76</v>
          </cell>
          <cell r="AX21" t="str">
            <v>RTS-B</v>
          </cell>
          <cell r="AY21">
            <v>2</v>
          </cell>
          <cell r="AZ21">
            <v>0.88980000000000004</v>
          </cell>
          <cell r="BA21">
            <v>32.76</v>
          </cell>
          <cell r="BB21">
            <v>1930.9071065946707</v>
          </cell>
          <cell r="BC21">
            <v>32.76</v>
          </cell>
          <cell r="BE21" t="str">
            <v>RTS-B</v>
          </cell>
          <cell r="BF21">
            <v>2</v>
          </cell>
          <cell r="BG21">
            <v>0.88980000000000004</v>
          </cell>
          <cell r="BH21">
            <v>0</v>
          </cell>
          <cell r="BI21">
            <v>1969.965128428732</v>
          </cell>
          <cell r="BJ21">
            <v>0</v>
          </cell>
          <cell r="BL21" t="str">
            <v>RTS-B</v>
          </cell>
          <cell r="BM21">
            <v>2</v>
          </cell>
          <cell r="BN21">
            <v>0.88980000000000004</v>
          </cell>
          <cell r="BO21">
            <v>32.76</v>
          </cell>
          <cell r="BP21">
            <v>2013.3805974906084</v>
          </cell>
          <cell r="BQ21">
            <v>32.76</v>
          </cell>
          <cell r="BS21" t="str">
            <v>RTS-B</v>
          </cell>
          <cell r="BT21">
            <v>2</v>
          </cell>
          <cell r="BU21">
            <v>0.88980000000000004</v>
          </cell>
          <cell r="BV21">
            <v>32.76</v>
          </cell>
          <cell r="BW21">
            <v>1886.1619705218382</v>
          </cell>
          <cell r="BX21">
            <v>32.76</v>
          </cell>
          <cell r="BZ21" t="str">
            <v>RTS-B</v>
          </cell>
          <cell r="CA21">
            <v>2</v>
          </cell>
          <cell r="CB21">
            <v>0.88980000000000004</v>
          </cell>
          <cell r="CC21">
            <v>36.4</v>
          </cell>
          <cell r="CD21">
            <v>1958.0033223073506</v>
          </cell>
          <cell r="CE21">
            <v>36.4</v>
          </cell>
        </row>
        <row r="22">
          <cell r="A22" t="str">
            <v>Spectrum</v>
          </cell>
          <cell r="B22">
            <v>2</v>
          </cell>
          <cell r="C22">
            <v>0.93</v>
          </cell>
          <cell r="D22">
            <v>120.97939648598128</v>
          </cell>
          <cell r="E22">
            <v>1524.7705649568998</v>
          </cell>
          <cell r="F22">
            <v>120.97939648598128</v>
          </cell>
          <cell r="H22" t="str">
            <v>Spectrum</v>
          </cell>
          <cell r="I22">
            <v>2</v>
          </cell>
          <cell r="J22">
            <v>0.93</v>
          </cell>
          <cell r="K22">
            <v>125.57639648598129</v>
          </cell>
          <cell r="L22">
            <v>1553.3570074474644</v>
          </cell>
          <cell r="M22">
            <v>125.57639648598129</v>
          </cell>
          <cell r="O22" t="str">
            <v>Spectrum</v>
          </cell>
          <cell r="P22">
            <v>2</v>
          </cell>
          <cell r="Q22">
            <v>0.93</v>
          </cell>
          <cell r="R22">
            <v>122.69839648598131</v>
          </cell>
          <cell r="S22">
            <v>1523.1373698928792</v>
          </cell>
          <cell r="T22">
            <v>122.69839648598131</v>
          </cell>
          <cell r="V22" t="str">
            <v>Spectrum</v>
          </cell>
          <cell r="W22">
            <v>2</v>
          </cell>
          <cell r="X22">
            <v>0.93</v>
          </cell>
          <cell r="Y22">
            <v>123.12339648598129</v>
          </cell>
          <cell r="Z22">
            <v>1495.0994275199832</v>
          </cell>
          <cell r="AA22">
            <v>123.12339648598129</v>
          </cell>
          <cell r="AC22" t="str">
            <v>Spectrum</v>
          </cell>
          <cell r="AD22">
            <v>2</v>
          </cell>
          <cell r="AE22">
            <v>0.93</v>
          </cell>
          <cell r="AF22">
            <v>129.66539648598129</v>
          </cell>
          <cell r="AG22">
            <v>2018.9000097093165</v>
          </cell>
          <cell r="AH22">
            <v>129.66539648598129</v>
          </cell>
          <cell r="AJ22" t="str">
            <v>Spectrum</v>
          </cell>
          <cell r="AK22">
            <v>2</v>
          </cell>
          <cell r="AL22">
            <v>0.93</v>
          </cell>
          <cell r="AM22">
            <v>123.0253964859813</v>
          </cell>
          <cell r="AN22">
            <v>2180.3732711689299</v>
          </cell>
          <cell r="AO22">
            <v>123.0253964859813</v>
          </cell>
          <cell r="AQ22" t="str">
            <v>Spectrum</v>
          </cell>
          <cell r="AR22">
            <v>2</v>
          </cell>
          <cell r="AS22">
            <v>0.93</v>
          </cell>
          <cell r="AT22">
            <v>127.73933333333335</v>
          </cell>
          <cell r="AU22">
            <v>2293.995413356693</v>
          </cell>
          <cell r="AV22">
            <v>127.73933333333335</v>
          </cell>
          <cell r="AX22" t="str">
            <v>Spectrum</v>
          </cell>
          <cell r="AY22">
            <v>2</v>
          </cell>
          <cell r="AZ22">
            <v>0.93</v>
          </cell>
          <cell r="BA22">
            <v>132.62633333333332</v>
          </cell>
          <cell r="BB22">
            <v>2063.5334399280041</v>
          </cell>
          <cell r="BC22">
            <v>132.62633333333332</v>
          </cell>
          <cell r="BE22" t="str">
            <v>Spectrum</v>
          </cell>
          <cell r="BF22">
            <v>2</v>
          </cell>
          <cell r="BG22">
            <v>0.93</v>
          </cell>
          <cell r="BH22">
            <v>140.40633333333332</v>
          </cell>
          <cell r="BI22">
            <v>2110.3714617620653</v>
          </cell>
          <cell r="BJ22">
            <v>140.40633333333332</v>
          </cell>
          <cell r="BL22" t="str">
            <v>Spectrum</v>
          </cell>
          <cell r="BM22">
            <v>2</v>
          </cell>
          <cell r="BN22">
            <v>0.93</v>
          </cell>
          <cell r="BO22">
            <v>117.73933333333333</v>
          </cell>
          <cell r="BP22">
            <v>2131.1199308239416</v>
          </cell>
          <cell r="BQ22">
            <v>117.73933333333333</v>
          </cell>
          <cell r="BS22" t="str">
            <v>Spectrum</v>
          </cell>
          <cell r="BT22">
            <v>2</v>
          </cell>
          <cell r="BU22">
            <v>0.93</v>
          </cell>
          <cell r="BV22">
            <v>102.13333333333334</v>
          </cell>
          <cell r="BW22">
            <v>1988.2953038551716</v>
          </cell>
          <cell r="BX22">
            <v>102.13333333333334</v>
          </cell>
          <cell r="BZ22" t="str">
            <v>Spectrum</v>
          </cell>
          <cell r="CA22">
            <v>2</v>
          </cell>
          <cell r="CB22">
            <v>0.93</v>
          </cell>
          <cell r="CC22">
            <v>136.74633333333333</v>
          </cell>
          <cell r="CD22">
            <v>2094.7496556406841</v>
          </cell>
          <cell r="CE22">
            <v>136.74633333333333</v>
          </cell>
        </row>
        <row r="23">
          <cell r="A23" t="str">
            <v>GVK</v>
          </cell>
          <cell r="B23">
            <v>2</v>
          </cell>
          <cell r="C23">
            <v>0.93230000000000002</v>
          </cell>
          <cell r="D23">
            <v>129.85499999999999</v>
          </cell>
          <cell r="E23">
            <v>1654.6255649568998</v>
          </cell>
          <cell r="F23">
            <v>129.85499999999999</v>
          </cell>
          <cell r="H23" t="str">
            <v>GVK</v>
          </cell>
          <cell r="I23">
            <v>2</v>
          </cell>
          <cell r="J23">
            <v>0.93230000000000002</v>
          </cell>
          <cell r="K23">
            <v>135.922</v>
          </cell>
          <cell r="L23">
            <v>1689.2790074474644</v>
          </cell>
          <cell r="M23">
            <v>135.922</v>
          </cell>
          <cell r="O23" t="str">
            <v>GVK</v>
          </cell>
          <cell r="P23">
            <v>2</v>
          </cell>
          <cell r="Q23">
            <v>0.93230000000000002</v>
          </cell>
          <cell r="R23">
            <v>118.694</v>
          </cell>
          <cell r="S23">
            <v>1641.8313698928791</v>
          </cell>
          <cell r="T23">
            <v>118.694</v>
          </cell>
          <cell r="V23" t="str">
            <v>GVK</v>
          </cell>
          <cell r="W23">
            <v>2</v>
          </cell>
          <cell r="X23">
            <v>0.93230000000000002</v>
          </cell>
          <cell r="Y23">
            <v>120.247</v>
          </cell>
          <cell r="Z23">
            <v>1615.3464275199833</v>
          </cell>
          <cell r="AA23">
            <v>120.247</v>
          </cell>
          <cell r="AC23" t="str">
            <v>GVK</v>
          </cell>
          <cell r="AD23">
            <v>2</v>
          </cell>
          <cell r="AE23">
            <v>0.93230000000000002</v>
          </cell>
          <cell r="AF23">
            <v>139.405</v>
          </cell>
          <cell r="AG23">
            <v>2158.3050097093164</v>
          </cell>
          <cell r="AH23">
            <v>139.405</v>
          </cell>
          <cell r="AJ23" t="str">
            <v>GVK</v>
          </cell>
          <cell r="AK23">
            <v>2</v>
          </cell>
          <cell r="AL23">
            <v>0.93230000000000002</v>
          </cell>
          <cell r="AM23">
            <v>131.66200000000001</v>
          </cell>
          <cell r="AN23">
            <v>2312.0352711689297</v>
          </cell>
          <cell r="AO23">
            <v>131.66200000000001</v>
          </cell>
          <cell r="AQ23" t="str">
            <v>GVK</v>
          </cell>
          <cell r="AR23">
            <v>2</v>
          </cell>
          <cell r="AS23">
            <v>0.93230000000000002</v>
          </cell>
          <cell r="AT23">
            <v>136.27099999999999</v>
          </cell>
          <cell r="AU23">
            <v>2430.2664133566932</v>
          </cell>
          <cell r="AV23">
            <v>136.27099999999999</v>
          </cell>
          <cell r="AX23" t="str">
            <v>GVK</v>
          </cell>
          <cell r="AY23">
            <v>2</v>
          </cell>
          <cell r="AZ23">
            <v>0.93230000000000002</v>
          </cell>
          <cell r="BA23">
            <v>136.255</v>
          </cell>
          <cell r="BB23">
            <v>2199.7884399280042</v>
          </cell>
          <cell r="BC23">
            <v>136.255</v>
          </cell>
          <cell r="BE23" t="str">
            <v>GVK</v>
          </cell>
          <cell r="BF23">
            <v>2</v>
          </cell>
          <cell r="BG23">
            <v>0.93230000000000002</v>
          </cell>
          <cell r="BH23">
            <v>110.672</v>
          </cell>
          <cell r="BI23">
            <v>2221.0434617620654</v>
          </cell>
          <cell r="BJ23">
            <v>110.672</v>
          </cell>
          <cell r="BL23" t="str">
            <v>GVK</v>
          </cell>
          <cell r="BM23">
            <v>2</v>
          </cell>
          <cell r="BN23">
            <v>0.93230000000000002</v>
          </cell>
          <cell r="BO23">
            <v>141.77099999999999</v>
          </cell>
          <cell r="BP23">
            <v>2272.8909308239417</v>
          </cell>
          <cell r="BQ23">
            <v>141.77099999999999</v>
          </cell>
          <cell r="BS23" t="str">
            <v>GVK</v>
          </cell>
          <cell r="BT23">
            <v>2</v>
          </cell>
          <cell r="BU23">
            <v>0.93230000000000002</v>
          </cell>
          <cell r="BV23">
            <v>126.795</v>
          </cell>
          <cell r="BW23">
            <v>2115.0903038551714</v>
          </cell>
          <cell r="BX23">
            <v>126.795</v>
          </cell>
          <cell r="BZ23" t="str">
            <v>GVK</v>
          </cell>
          <cell r="CA23">
            <v>2</v>
          </cell>
          <cell r="CB23">
            <v>0.93230000000000002</v>
          </cell>
          <cell r="CC23">
            <v>138.84700000000001</v>
          </cell>
          <cell r="CD23">
            <v>2233.5966556406843</v>
          </cell>
          <cell r="CE23">
            <v>138.84700000000001</v>
          </cell>
        </row>
        <row r="24">
          <cell r="A24" t="str">
            <v>NTPC (SR)</v>
          </cell>
          <cell r="B24">
            <v>2</v>
          </cell>
          <cell r="C24">
            <v>0.93633851426652215</v>
          </cell>
          <cell r="D24">
            <v>372.55400000000003</v>
          </cell>
          <cell r="E24">
            <v>2027.1795649568999</v>
          </cell>
          <cell r="F24">
            <v>372.55400000000003</v>
          </cell>
          <cell r="H24" t="str">
            <v>NTPC (SR)</v>
          </cell>
          <cell r="I24">
            <v>2</v>
          </cell>
          <cell r="J24">
            <v>0.93633851426652215</v>
          </cell>
          <cell r="K24">
            <v>339.38800000000003</v>
          </cell>
          <cell r="L24">
            <v>2028.6670074474646</v>
          </cell>
          <cell r="M24">
            <v>339.38800000000003</v>
          </cell>
          <cell r="O24" t="str">
            <v>NTPC (SR)</v>
          </cell>
          <cell r="P24">
            <v>2</v>
          </cell>
          <cell r="Q24">
            <v>0.93633851426652215</v>
          </cell>
          <cell r="R24">
            <v>348.404</v>
          </cell>
          <cell r="S24">
            <v>1990.2353698928791</v>
          </cell>
          <cell r="T24">
            <v>348.404</v>
          </cell>
          <cell r="V24" t="str">
            <v>NTPC (SR)</v>
          </cell>
          <cell r="W24">
            <v>2</v>
          </cell>
          <cell r="X24">
            <v>0.93633851426652215</v>
          </cell>
          <cell r="Y24">
            <v>346.79399999999998</v>
          </cell>
          <cell r="Z24">
            <v>1962.1404275199834</v>
          </cell>
          <cell r="AA24">
            <v>346.79399999999998</v>
          </cell>
          <cell r="AC24" t="str">
            <v>NTPC (SR)</v>
          </cell>
          <cell r="AD24">
            <v>2</v>
          </cell>
          <cell r="AE24">
            <v>0.93633851426652215</v>
          </cell>
          <cell r="AF24">
            <v>386.4</v>
          </cell>
          <cell r="AG24">
            <v>2544.7050097093165</v>
          </cell>
          <cell r="AH24">
            <v>386.4</v>
          </cell>
          <cell r="AJ24" t="str">
            <v>NTPC (SR)</v>
          </cell>
          <cell r="AK24">
            <v>2</v>
          </cell>
          <cell r="AL24">
            <v>0.93633851426652215</v>
          </cell>
          <cell r="AM24">
            <v>328.762</v>
          </cell>
          <cell r="AN24">
            <v>2640.7972711689299</v>
          </cell>
          <cell r="AO24">
            <v>328.762</v>
          </cell>
          <cell r="AQ24" t="str">
            <v>NTPC (SR)</v>
          </cell>
          <cell r="AR24">
            <v>2</v>
          </cell>
          <cell r="AS24">
            <v>0.93633851426652215</v>
          </cell>
          <cell r="AT24">
            <v>433.41200000000003</v>
          </cell>
          <cell r="AU24">
            <v>2863.6784133566935</v>
          </cell>
          <cell r="AV24">
            <v>433.41200000000003</v>
          </cell>
          <cell r="AX24" t="str">
            <v>NTPC (SR)</v>
          </cell>
          <cell r="AY24">
            <v>2</v>
          </cell>
          <cell r="AZ24">
            <v>0.93633851426652215</v>
          </cell>
          <cell r="BA24">
            <v>421.49799999999999</v>
          </cell>
          <cell r="BB24">
            <v>2621.2864399280043</v>
          </cell>
          <cell r="BC24">
            <v>421.49799999999999</v>
          </cell>
          <cell r="BE24" t="str">
            <v>NTPC (SR)</v>
          </cell>
          <cell r="BF24">
            <v>2</v>
          </cell>
          <cell r="BG24">
            <v>0.93633851426652215</v>
          </cell>
          <cell r="BH24">
            <v>435.666</v>
          </cell>
          <cell r="BI24">
            <v>2656.7094617620655</v>
          </cell>
          <cell r="BJ24">
            <v>435.666</v>
          </cell>
          <cell r="BL24" t="str">
            <v>NTPC (SR)</v>
          </cell>
          <cell r="BM24">
            <v>2</v>
          </cell>
          <cell r="BN24">
            <v>0.93633851426652215</v>
          </cell>
          <cell r="BO24">
            <v>444.36</v>
          </cell>
          <cell r="BP24">
            <v>2717.2509308239419</v>
          </cell>
          <cell r="BQ24">
            <v>444.36</v>
          </cell>
          <cell r="BS24" t="str">
            <v>NTPC (SR)</v>
          </cell>
          <cell r="BT24">
            <v>2</v>
          </cell>
          <cell r="BU24">
            <v>0.93633851426652215</v>
          </cell>
          <cell r="BV24">
            <v>415.702</v>
          </cell>
          <cell r="BW24">
            <v>2530.7923038551717</v>
          </cell>
          <cell r="BX24">
            <v>415.702</v>
          </cell>
          <cell r="BZ24" t="str">
            <v>NTPC (SR)</v>
          </cell>
          <cell r="CA24">
            <v>2</v>
          </cell>
          <cell r="CB24">
            <v>0.94659816012610165</v>
          </cell>
          <cell r="CC24">
            <v>444.36</v>
          </cell>
          <cell r="CD24">
            <v>2677.9566556406844</v>
          </cell>
          <cell r="CE24">
            <v>444.36</v>
          </cell>
        </row>
        <row r="25">
          <cell r="A25" t="str">
            <v>BSES</v>
          </cell>
          <cell r="B25">
            <v>2</v>
          </cell>
          <cell r="C25">
            <v>0.96699999999999997</v>
          </cell>
          <cell r="D25">
            <v>131.625</v>
          </cell>
          <cell r="E25">
            <v>2158.8045649568999</v>
          </cell>
          <cell r="F25">
            <v>131.625</v>
          </cell>
          <cell r="H25" t="str">
            <v>BSES</v>
          </cell>
          <cell r="I25">
            <v>2</v>
          </cell>
          <cell r="J25">
            <v>0.96699999999999997</v>
          </cell>
          <cell r="K25">
            <v>136.5</v>
          </cell>
          <cell r="L25">
            <v>2165.1670074474646</v>
          </cell>
          <cell r="M25">
            <v>136.5</v>
          </cell>
          <cell r="O25" t="str">
            <v>BSES</v>
          </cell>
          <cell r="P25">
            <v>2</v>
          </cell>
          <cell r="Q25">
            <v>0.96699999999999997</v>
          </cell>
          <cell r="R25">
            <v>131.625</v>
          </cell>
          <cell r="S25">
            <v>2121.8603698928791</v>
          </cell>
          <cell r="T25">
            <v>131.625</v>
          </cell>
          <cell r="V25" t="str">
            <v>BSES</v>
          </cell>
          <cell r="W25">
            <v>2</v>
          </cell>
          <cell r="X25">
            <v>0.96699999999999997</v>
          </cell>
          <cell r="Y25">
            <v>136.5</v>
          </cell>
          <cell r="Z25">
            <v>2098.6404275199834</v>
          </cell>
          <cell r="AA25">
            <v>136.5</v>
          </cell>
          <cell r="AC25" t="str">
            <v>BSES</v>
          </cell>
          <cell r="AD25">
            <v>2</v>
          </cell>
          <cell r="AE25">
            <v>0.96699999999999997</v>
          </cell>
          <cell r="AF25">
            <v>131.625</v>
          </cell>
          <cell r="AG25">
            <v>2676.3300097093165</v>
          </cell>
          <cell r="AH25">
            <v>131.625</v>
          </cell>
          <cell r="AJ25" t="str">
            <v>BSES</v>
          </cell>
          <cell r="AK25">
            <v>2</v>
          </cell>
          <cell r="AL25">
            <v>0.96699999999999997</v>
          </cell>
          <cell r="AM25">
            <v>114.075</v>
          </cell>
          <cell r="AN25">
            <v>2754.8722711689297</v>
          </cell>
          <cell r="AO25">
            <v>114.075</v>
          </cell>
          <cell r="AQ25" t="str">
            <v>BSES</v>
          </cell>
          <cell r="AR25">
            <v>2</v>
          </cell>
          <cell r="AS25">
            <v>0.96699999999999997</v>
          </cell>
          <cell r="AT25">
            <v>136.5</v>
          </cell>
          <cell r="AU25">
            <v>3000.1784133566935</v>
          </cell>
          <cell r="AV25">
            <v>136.5</v>
          </cell>
          <cell r="AX25" t="str">
            <v>BSES</v>
          </cell>
          <cell r="AY25">
            <v>2</v>
          </cell>
          <cell r="AZ25">
            <v>0.96699999999999997</v>
          </cell>
          <cell r="BA25">
            <v>131.625</v>
          </cell>
          <cell r="BB25">
            <v>2752.9114399280043</v>
          </cell>
          <cell r="BC25">
            <v>131.625</v>
          </cell>
          <cell r="BE25" t="str">
            <v>BSES</v>
          </cell>
          <cell r="BF25">
            <v>2</v>
          </cell>
          <cell r="BG25">
            <v>0.96699999999999997</v>
          </cell>
          <cell r="BH25">
            <v>136.5</v>
          </cell>
          <cell r="BI25">
            <v>2793.2094617620655</v>
          </cell>
          <cell r="BJ25">
            <v>136.5</v>
          </cell>
          <cell r="BL25" t="str">
            <v>BSES</v>
          </cell>
          <cell r="BM25">
            <v>2</v>
          </cell>
          <cell r="BN25">
            <v>0.96699999999999997</v>
          </cell>
          <cell r="BO25">
            <v>136.5</v>
          </cell>
          <cell r="BP25">
            <v>2853.7509308239419</v>
          </cell>
          <cell r="BQ25">
            <v>136.5</v>
          </cell>
          <cell r="BS25" t="str">
            <v>BSES</v>
          </cell>
          <cell r="BT25">
            <v>2</v>
          </cell>
          <cell r="BU25">
            <v>0.96699999999999997</v>
          </cell>
          <cell r="BV25">
            <v>122.85</v>
          </cell>
          <cell r="BW25">
            <v>2653.6423038551716</v>
          </cell>
          <cell r="BX25">
            <v>122.85</v>
          </cell>
          <cell r="BZ25" t="str">
            <v>BSES</v>
          </cell>
          <cell r="CA25">
            <v>2</v>
          </cell>
          <cell r="CB25">
            <v>0.96699999999999997</v>
          </cell>
          <cell r="CC25">
            <v>136.5</v>
          </cell>
          <cell r="CD25">
            <v>2814.4566556406844</v>
          </cell>
          <cell r="CE25">
            <v>136.5</v>
          </cell>
        </row>
        <row r="26">
          <cell r="A26" t="str">
            <v>KTPS- A</v>
          </cell>
          <cell r="B26">
            <v>2</v>
          </cell>
          <cell r="C26">
            <v>0.99431999999999998</v>
          </cell>
          <cell r="D26">
            <v>130.29600000000002</v>
          </cell>
          <cell r="E26">
            <v>2289.1005649568997</v>
          </cell>
          <cell r="F26">
            <v>130.29600000000002</v>
          </cell>
          <cell r="H26" t="str">
            <v>KTPS- A</v>
          </cell>
          <cell r="I26">
            <v>2</v>
          </cell>
          <cell r="J26">
            <v>0.99431999999999998</v>
          </cell>
          <cell r="K26">
            <v>134.68799999999999</v>
          </cell>
          <cell r="L26">
            <v>2299.8550074474647</v>
          </cell>
          <cell r="M26">
            <v>134.68799999999999</v>
          </cell>
          <cell r="O26" t="str">
            <v>KTPS- A</v>
          </cell>
          <cell r="P26">
            <v>2</v>
          </cell>
          <cell r="Q26">
            <v>0.99431999999999998</v>
          </cell>
          <cell r="R26">
            <v>130.29600000000002</v>
          </cell>
          <cell r="S26">
            <v>2252.156369892879</v>
          </cell>
          <cell r="T26">
            <v>130.29600000000002</v>
          </cell>
          <cell r="V26" t="str">
            <v>KTPS- A</v>
          </cell>
          <cell r="W26">
            <v>2</v>
          </cell>
          <cell r="X26">
            <v>0.99431999999999998</v>
          </cell>
          <cell r="Y26">
            <v>134.68799999999999</v>
          </cell>
          <cell r="Z26">
            <v>2233.3284275199835</v>
          </cell>
          <cell r="AA26">
            <v>134.68799999999999</v>
          </cell>
          <cell r="AC26" t="str">
            <v>KTPS- A</v>
          </cell>
          <cell r="AD26">
            <v>2</v>
          </cell>
          <cell r="AE26">
            <v>0.99431999999999998</v>
          </cell>
          <cell r="AF26">
            <v>101.01600000000001</v>
          </cell>
          <cell r="AG26">
            <v>2777.3460097093166</v>
          </cell>
          <cell r="AH26">
            <v>101.01600000000001</v>
          </cell>
          <cell r="AJ26" t="str">
            <v>KTPS- A</v>
          </cell>
          <cell r="AK26">
            <v>2</v>
          </cell>
          <cell r="AL26">
            <v>0.99431999999999998</v>
          </cell>
          <cell r="AM26">
            <v>130.4973</v>
          </cell>
          <cell r="AN26">
            <v>2885.3695711689297</v>
          </cell>
          <cell r="AO26">
            <v>130.4973</v>
          </cell>
          <cell r="AQ26" t="str">
            <v>KTPS- A</v>
          </cell>
          <cell r="AR26">
            <v>2</v>
          </cell>
          <cell r="AS26">
            <v>0.99431999999999998</v>
          </cell>
          <cell r="AT26">
            <v>118.49250000000001</v>
          </cell>
          <cell r="AU26">
            <v>3118.6709133566933</v>
          </cell>
          <cell r="AV26">
            <v>118.49250000000001</v>
          </cell>
          <cell r="AX26" t="str">
            <v>KTPS- A</v>
          </cell>
          <cell r="AY26">
            <v>2</v>
          </cell>
          <cell r="AZ26">
            <v>0.99431999999999998</v>
          </cell>
          <cell r="BA26">
            <v>100.467</v>
          </cell>
          <cell r="BB26">
            <v>2853.3784399280044</v>
          </cell>
          <cell r="BC26">
            <v>100.467</v>
          </cell>
          <cell r="BE26" t="str">
            <v>KTPS- A</v>
          </cell>
          <cell r="BF26">
            <v>2</v>
          </cell>
          <cell r="BG26">
            <v>0.99431999999999998</v>
          </cell>
          <cell r="BH26">
            <v>142.374</v>
          </cell>
          <cell r="BI26">
            <v>2935.5834617620653</v>
          </cell>
          <cell r="BJ26">
            <v>142.374</v>
          </cell>
          <cell r="BL26" t="str">
            <v>KTPS- A</v>
          </cell>
          <cell r="BM26">
            <v>2</v>
          </cell>
          <cell r="BN26">
            <v>0.99431999999999998</v>
          </cell>
          <cell r="BO26">
            <v>142.374</v>
          </cell>
          <cell r="BP26">
            <v>2996.1249308239417</v>
          </cell>
          <cell r="BQ26">
            <v>142.374</v>
          </cell>
          <cell r="BS26" t="str">
            <v>KTPS- A</v>
          </cell>
          <cell r="BT26">
            <v>2</v>
          </cell>
          <cell r="BU26">
            <v>0.99431999999999998</v>
          </cell>
          <cell r="BV26">
            <v>127.73399999999999</v>
          </cell>
          <cell r="BW26">
            <v>2781.3763038551715</v>
          </cell>
          <cell r="BX26">
            <v>127.73399999999999</v>
          </cell>
          <cell r="BZ26" t="str">
            <v>KTPS- A</v>
          </cell>
          <cell r="CA26">
            <v>2</v>
          </cell>
          <cell r="CB26">
            <v>0.99431999999999998</v>
          </cell>
          <cell r="CC26">
            <v>142.374</v>
          </cell>
          <cell r="CD26">
            <v>2956.8306556406842</v>
          </cell>
          <cell r="CE26">
            <v>142.374</v>
          </cell>
        </row>
        <row r="27">
          <cell r="A27" t="str">
            <v>KTPS- B</v>
          </cell>
          <cell r="B27">
            <v>2</v>
          </cell>
          <cell r="C27">
            <v>0.99431999999999998</v>
          </cell>
          <cell r="D27">
            <v>125.4528</v>
          </cell>
          <cell r="E27">
            <v>2414.5533649568997</v>
          </cell>
          <cell r="F27">
            <v>125.4528</v>
          </cell>
          <cell r="H27" t="str">
            <v>KTPS- B</v>
          </cell>
          <cell r="I27">
            <v>2</v>
          </cell>
          <cell r="J27">
            <v>0.99431999999999998</v>
          </cell>
          <cell r="K27">
            <v>130.06400000000002</v>
          </cell>
          <cell r="L27">
            <v>2429.9190074474645</v>
          </cell>
          <cell r="M27">
            <v>130.06400000000002</v>
          </cell>
          <cell r="O27" t="str">
            <v>KTPS- B</v>
          </cell>
          <cell r="P27">
            <v>2</v>
          </cell>
          <cell r="Q27">
            <v>0.99431999999999998</v>
          </cell>
          <cell r="R27">
            <v>125.4528</v>
          </cell>
          <cell r="S27">
            <v>2377.609169892879</v>
          </cell>
          <cell r="T27">
            <v>125.4528</v>
          </cell>
          <cell r="V27" t="str">
            <v>KTPS- B</v>
          </cell>
          <cell r="W27">
            <v>2</v>
          </cell>
          <cell r="X27">
            <v>0.99431999999999998</v>
          </cell>
          <cell r="Y27">
            <v>130.06400000000002</v>
          </cell>
          <cell r="Z27">
            <v>2363.3924275199834</v>
          </cell>
          <cell r="AA27">
            <v>130.06400000000002</v>
          </cell>
          <cell r="AC27" t="str">
            <v>KTPS- B</v>
          </cell>
          <cell r="AD27">
            <v>2</v>
          </cell>
          <cell r="AE27">
            <v>0.99431999999999998</v>
          </cell>
          <cell r="AF27">
            <v>102.2208</v>
          </cell>
          <cell r="AG27">
            <v>2879.5668097093167</v>
          </cell>
          <cell r="AH27">
            <v>102.2208</v>
          </cell>
          <cell r="AJ27" t="str">
            <v>KTPS- B</v>
          </cell>
          <cell r="AK27">
            <v>2</v>
          </cell>
          <cell r="AL27">
            <v>0.99431999999999998</v>
          </cell>
          <cell r="AM27">
            <v>127.75840000000001</v>
          </cell>
          <cell r="AN27">
            <v>3013.1279711689299</v>
          </cell>
          <cell r="AO27">
            <v>127.75840000000001</v>
          </cell>
          <cell r="AQ27" t="str">
            <v>KTPS- B</v>
          </cell>
          <cell r="AR27">
            <v>2</v>
          </cell>
          <cell r="AS27">
            <v>0.99431999999999998</v>
          </cell>
          <cell r="AT27">
            <v>130.06400000000002</v>
          </cell>
          <cell r="AU27">
            <v>3248.7349133566931</v>
          </cell>
          <cell r="AV27">
            <v>130.06400000000002</v>
          </cell>
          <cell r="AX27" t="str">
            <v>KTPS- B</v>
          </cell>
          <cell r="AY27">
            <v>2</v>
          </cell>
          <cell r="AZ27">
            <v>0.99431999999999998</v>
          </cell>
          <cell r="BA27">
            <v>125.4528</v>
          </cell>
          <cell r="BB27">
            <v>2978.8312399280044</v>
          </cell>
          <cell r="BC27">
            <v>125.4528</v>
          </cell>
          <cell r="BE27" t="str">
            <v>KTPS- B</v>
          </cell>
          <cell r="BF27">
            <v>2</v>
          </cell>
          <cell r="BG27">
            <v>0.99431999999999998</v>
          </cell>
          <cell r="BH27">
            <v>99.88</v>
          </cell>
          <cell r="BI27">
            <v>3035.4634617620654</v>
          </cell>
          <cell r="BJ27">
            <v>99.88</v>
          </cell>
          <cell r="BL27" t="str">
            <v>KTPS- B</v>
          </cell>
          <cell r="BM27">
            <v>2</v>
          </cell>
          <cell r="BN27">
            <v>0.99431999999999998</v>
          </cell>
          <cell r="BO27">
            <v>130.06400000000002</v>
          </cell>
          <cell r="BP27">
            <v>3126.1889308239415</v>
          </cell>
          <cell r="BQ27">
            <v>130.06400000000002</v>
          </cell>
          <cell r="BS27" t="str">
            <v>KTPS- B</v>
          </cell>
          <cell r="BT27">
            <v>2</v>
          </cell>
          <cell r="BU27">
            <v>0.99431999999999998</v>
          </cell>
          <cell r="BV27">
            <v>116.16</v>
          </cell>
          <cell r="BW27">
            <v>2897.5363038551714</v>
          </cell>
          <cell r="BX27">
            <v>116.16</v>
          </cell>
          <cell r="BZ27" t="str">
            <v>KTPS- B</v>
          </cell>
          <cell r="CA27">
            <v>2</v>
          </cell>
          <cell r="CB27">
            <v>0.99431999999999998</v>
          </cell>
          <cell r="CC27">
            <v>130.06400000000002</v>
          </cell>
          <cell r="CD27">
            <v>3086.8946556406841</v>
          </cell>
          <cell r="CE27">
            <v>130.06400000000002</v>
          </cell>
        </row>
        <row r="28">
          <cell r="A28" t="str">
            <v>KTPS- C</v>
          </cell>
          <cell r="B28">
            <v>2</v>
          </cell>
          <cell r="C28">
            <v>0.99431999999999998</v>
          </cell>
          <cell r="D28">
            <v>131.202</v>
          </cell>
          <cell r="E28">
            <v>2545.7553649568999</v>
          </cell>
          <cell r="F28">
            <v>131.202</v>
          </cell>
          <cell r="H28" t="str">
            <v>KTPS- C</v>
          </cell>
          <cell r="I28">
            <v>2</v>
          </cell>
          <cell r="J28">
            <v>0.99431999999999998</v>
          </cell>
          <cell r="K28">
            <v>138.96</v>
          </cell>
          <cell r="L28">
            <v>2568.8790074474646</v>
          </cell>
          <cell r="M28">
            <v>138.96</v>
          </cell>
          <cell r="O28" t="str">
            <v>KTPS- C</v>
          </cell>
          <cell r="P28">
            <v>2</v>
          </cell>
          <cell r="Q28">
            <v>0.99431999999999998</v>
          </cell>
          <cell r="R28">
            <v>134.1</v>
          </cell>
          <cell r="S28">
            <v>2511.7091698928789</v>
          </cell>
          <cell r="T28">
            <v>134.1</v>
          </cell>
          <cell r="V28" t="str">
            <v>KTPS- C</v>
          </cell>
          <cell r="W28">
            <v>2</v>
          </cell>
          <cell r="X28">
            <v>0.99431999999999998</v>
          </cell>
          <cell r="Y28">
            <v>133.02000000000001</v>
          </cell>
          <cell r="Z28">
            <v>2496.4124275199833</v>
          </cell>
          <cell r="AA28">
            <v>133.02000000000001</v>
          </cell>
          <cell r="AC28" t="str">
            <v>KTPS- C</v>
          </cell>
          <cell r="AD28">
            <v>2</v>
          </cell>
          <cell r="AE28">
            <v>0.99431999999999998</v>
          </cell>
          <cell r="AF28">
            <v>133.02000000000001</v>
          </cell>
          <cell r="AG28">
            <v>3012.5868097093166</v>
          </cell>
          <cell r="AH28">
            <v>133.02000000000001</v>
          </cell>
          <cell r="AJ28" t="str">
            <v>KTPS- C</v>
          </cell>
          <cell r="AK28">
            <v>2</v>
          </cell>
          <cell r="AL28">
            <v>0.99431999999999998</v>
          </cell>
          <cell r="AM28">
            <v>128.16</v>
          </cell>
          <cell r="AN28">
            <v>3141.2879711689297</v>
          </cell>
          <cell r="AO28">
            <v>128.16</v>
          </cell>
          <cell r="AQ28" t="str">
            <v>KTPS- C</v>
          </cell>
          <cell r="AR28">
            <v>2</v>
          </cell>
          <cell r="AS28">
            <v>0.99431999999999998</v>
          </cell>
          <cell r="AT28">
            <v>133.02000000000001</v>
          </cell>
          <cell r="AU28">
            <v>3381.7549133566931</v>
          </cell>
          <cell r="AV28">
            <v>133.02000000000001</v>
          </cell>
          <cell r="AX28" t="str">
            <v>KTPS- C</v>
          </cell>
          <cell r="AY28">
            <v>2</v>
          </cell>
          <cell r="AZ28">
            <v>0.99431999999999998</v>
          </cell>
          <cell r="BA28">
            <v>134.1</v>
          </cell>
          <cell r="BB28">
            <v>3112.9312399280043</v>
          </cell>
          <cell r="BC28">
            <v>134.1</v>
          </cell>
          <cell r="BE28" t="str">
            <v>KTPS- C</v>
          </cell>
          <cell r="BF28">
            <v>2</v>
          </cell>
          <cell r="BG28">
            <v>0.99431999999999998</v>
          </cell>
          <cell r="BH28">
            <v>104.22</v>
          </cell>
          <cell r="BI28">
            <v>3139.6834617620652</v>
          </cell>
          <cell r="BJ28">
            <v>104.22</v>
          </cell>
          <cell r="BL28" t="str">
            <v>KTPS- C</v>
          </cell>
          <cell r="BM28">
            <v>2</v>
          </cell>
          <cell r="BN28">
            <v>0.99431999999999998</v>
          </cell>
          <cell r="BO28">
            <v>104.22</v>
          </cell>
          <cell r="BP28">
            <v>3230.4089308239413</v>
          </cell>
          <cell r="BQ28">
            <v>104.22</v>
          </cell>
          <cell r="BS28" t="str">
            <v>KTPS- C</v>
          </cell>
          <cell r="BT28">
            <v>2</v>
          </cell>
          <cell r="BU28">
            <v>0.99431999999999998</v>
          </cell>
          <cell r="BV28">
            <v>124.2</v>
          </cell>
          <cell r="BW28">
            <v>3021.7363038551712</v>
          </cell>
          <cell r="BX28">
            <v>124.2</v>
          </cell>
          <cell r="BZ28" t="str">
            <v>KTPS- C</v>
          </cell>
          <cell r="CA28">
            <v>2</v>
          </cell>
          <cell r="CB28">
            <v>0.99431999999999998</v>
          </cell>
          <cell r="CC28">
            <v>138.96</v>
          </cell>
          <cell r="CD28">
            <v>3225.8546556406841</v>
          </cell>
          <cell r="CE28">
            <v>138.96</v>
          </cell>
        </row>
        <row r="29">
          <cell r="A29" t="str">
            <v>Gridco</v>
          </cell>
          <cell r="B29">
            <v>2</v>
          </cell>
          <cell r="C29">
            <v>1</v>
          </cell>
          <cell r="D29">
            <v>0</v>
          </cell>
          <cell r="E29">
            <v>2545.7553649568999</v>
          </cell>
          <cell r="F29">
            <v>0</v>
          </cell>
          <cell r="H29" t="str">
            <v>Gridco</v>
          </cell>
          <cell r="I29">
            <v>2</v>
          </cell>
          <cell r="J29">
            <v>1</v>
          </cell>
          <cell r="K29">
            <v>1.3636363636363635</v>
          </cell>
          <cell r="L29">
            <v>2570.2426438111011</v>
          </cell>
          <cell r="M29">
            <v>1.3636363636363635</v>
          </cell>
          <cell r="O29" t="str">
            <v>Gridco</v>
          </cell>
          <cell r="P29">
            <v>2</v>
          </cell>
          <cell r="Q29">
            <v>1</v>
          </cell>
          <cell r="R29">
            <v>1.3636363636363635</v>
          </cell>
          <cell r="S29">
            <v>2513.0728062565154</v>
          </cell>
          <cell r="T29">
            <v>1.3636363636363635</v>
          </cell>
          <cell r="V29" t="str">
            <v>Gridco</v>
          </cell>
          <cell r="W29">
            <v>2</v>
          </cell>
          <cell r="X29">
            <v>1</v>
          </cell>
          <cell r="Y29">
            <v>1.3636363636363635</v>
          </cell>
          <cell r="Z29">
            <v>2497.7760638836198</v>
          </cell>
          <cell r="AA29">
            <v>1.3636363636363635</v>
          </cell>
          <cell r="AC29" t="str">
            <v>Gridco</v>
          </cell>
          <cell r="AD29">
            <v>2</v>
          </cell>
          <cell r="AE29">
            <v>1</v>
          </cell>
          <cell r="AF29">
            <v>1.3636363636363635</v>
          </cell>
          <cell r="AG29">
            <v>3013.9504460729531</v>
          </cell>
          <cell r="AH29">
            <v>1.3636363636363635</v>
          </cell>
          <cell r="AJ29" t="str">
            <v>Gridco</v>
          </cell>
          <cell r="AK29">
            <v>2</v>
          </cell>
          <cell r="AL29">
            <v>1</v>
          </cell>
          <cell r="AM29">
            <v>1.3636363636363635</v>
          </cell>
          <cell r="AN29">
            <v>3142.6516075325662</v>
          </cell>
          <cell r="AO29">
            <v>1.3636363636363635</v>
          </cell>
          <cell r="AQ29" t="str">
            <v>Gridco</v>
          </cell>
          <cell r="AR29">
            <v>2</v>
          </cell>
          <cell r="AS29">
            <v>1</v>
          </cell>
          <cell r="AT29">
            <v>1.3636363636363635</v>
          </cell>
          <cell r="AU29">
            <v>3383.1185497203296</v>
          </cell>
          <cell r="AV29">
            <v>1.3636363636363635</v>
          </cell>
          <cell r="AX29" t="str">
            <v>Gridco</v>
          </cell>
          <cell r="AY29">
            <v>2</v>
          </cell>
          <cell r="AZ29">
            <v>1</v>
          </cell>
          <cell r="BA29">
            <v>1.3636363636363635</v>
          </cell>
          <cell r="BB29">
            <v>3114.2948762916408</v>
          </cell>
          <cell r="BC29">
            <v>1.3636363636363635</v>
          </cell>
          <cell r="BE29" t="str">
            <v>Gridco</v>
          </cell>
          <cell r="BF29">
            <v>2</v>
          </cell>
          <cell r="BG29">
            <v>1</v>
          </cell>
          <cell r="BH29">
            <v>1.3636363636363635</v>
          </cell>
          <cell r="BI29">
            <v>3141.0470981257017</v>
          </cell>
          <cell r="BJ29">
            <v>1.3636363636363635</v>
          </cell>
          <cell r="BL29" t="str">
            <v>Gridco</v>
          </cell>
          <cell r="BM29">
            <v>2</v>
          </cell>
          <cell r="BN29">
            <v>1</v>
          </cell>
          <cell r="BO29">
            <v>1.3636363636363635</v>
          </cell>
          <cell r="BP29">
            <v>3231.7725671875778</v>
          </cell>
          <cell r="BQ29">
            <v>1.3636363636363635</v>
          </cell>
          <cell r="BS29" t="str">
            <v>Gridco</v>
          </cell>
          <cell r="BT29">
            <v>2</v>
          </cell>
          <cell r="BU29">
            <v>1</v>
          </cell>
          <cell r="BV29">
            <v>1.3636363636363635</v>
          </cell>
          <cell r="BW29">
            <v>3023.0999402188077</v>
          </cell>
          <cell r="BX29">
            <v>1.3636363636363635</v>
          </cell>
          <cell r="BZ29" t="str">
            <v>Gridco</v>
          </cell>
          <cell r="CA29">
            <v>2</v>
          </cell>
          <cell r="CB29">
            <v>1</v>
          </cell>
          <cell r="CC29">
            <v>1.3636363636363635</v>
          </cell>
          <cell r="CD29">
            <v>3227.2182920043206</v>
          </cell>
          <cell r="CE29">
            <v>1.3636363636363635</v>
          </cell>
        </row>
        <row r="30">
          <cell r="A30" t="str">
            <v>VTPS- I</v>
          </cell>
          <cell r="B30">
            <v>2</v>
          </cell>
          <cell r="C30">
            <v>1.0464</v>
          </cell>
          <cell r="D30">
            <v>250.25</v>
          </cell>
          <cell r="E30">
            <v>2796.0053649568999</v>
          </cell>
          <cell r="F30">
            <v>250.25</v>
          </cell>
          <cell r="H30" t="str">
            <v>VTPS- I</v>
          </cell>
          <cell r="I30">
            <v>2</v>
          </cell>
          <cell r="J30">
            <v>1.0464</v>
          </cell>
          <cell r="K30">
            <v>254.8</v>
          </cell>
          <cell r="L30">
            <v>2825.0426438111012</v>
          </cell>
          <cell r="M30">
            <v>254.8</v>
          </cell>
          <cell r="O30" t="str">
            <v>VTPS- I</v>
          </cell>
          <cell r="P30">
            <v>2</v>
          </cell>
          <cell r="Q30">
            <v>1.0464</v>
          </cell>
          <cell r="R30">
            <v>250.25</v>
          </cell>
          <cell r="S30">
            <v>2763.3228062565154</v>
          </cell>
          <cell r="T30">
            <v>250.25</v>
          </cell>
          <cell r="V30" t="str">
            <v>VTPS- I</v>
          </cell>
          <cell r="W30">
            <v>2</v>
          </cell>
          <cell r="X30">
            <v>1.0464</v>
          </cell>
          <cell r="Y30">
            <v>254.8</v>
          </cell>
          <cell r="Z30">
            <v>2752.57606388362</v>
          </cell>
          <cell r="AA30">
            <v>254.8</v>
          </cell>
          <cell r="AC30" t="str">
            <v>VTPS- I</v>
          </cell>
          <cell r="AD30">
            <v>2</v>
          </cell>
          <cell r="AE30">
            <v>1.0464</v>
          </cell>
          <cell r="AF30">
            <v>254.8</v>
          </cell>
          <cell r="AG30">
            <v>3268.7504460729533</v>
          </cell>
          <cell r="AH30">
            <v>254.8</v>
          </cell>
          <cell r="AJ30" t="str">
            <v>VTPS- I</v>
          </cell>
          <cell r="AK30">
            <v>2</v>
          </cell>
          <cell r="AL30">
            <v>1.0464</v>
          </cell>
          <cell r="AM30">
            <v>188.37</v>
          </cell>
          <cell r="AN30">
            <v>3331.0216075325661</v>
          </cell>
          <cell r="AO30">
            <v>188.37</v>
          </cell>
          <cell r="AQ30" t="str">
            <v>VTPS- I</v>
          </cell>
          <cell r="AR30">
            <v>2</v>
          </cell>
          <cell r="AS30">
            <v>1.0464</v>
          </cell>
          <cell r="AT30">
            <v>254.8</v>
          </cell>
          <cell r="AU30">
            <v>3637.9185497203298</v>
          </cell>
          <cell r="AV30">
            <v>254.8</v>
          </cell>
          <cell r="AX30" t="str">
            <v>VTPS- I</v>
          </cell>
          <cell r="AY30">
            <v>2</v>
          </cell>
          <cell r="AZ30">
            <v>1.0464</v>
          </cell>
          <cell r="BA30">
            <v>189.28</v>
          </cell>
          <cell r="BB30">
            <v>3303.574876291641</v>
          </cell>
          <cell r="BC30">
            <v>189.28</v>
          </cell>
          <cell r="BE30" t="str">
            <v>VTPS- I</v>
          </cell>
          <cell r="BF30">
            <v>2</v>
          </cell>
          <cell r="BG30">
            <v>1.0464</v>
          </cell>
          <cell r="BH30">
            <v>254.8</v>
          </cell>
          <cell r="BI30">
            <v>3395.8470981257019</v>
          </cell>
          <cell r="BJ30">
            <v>254.8</v>
          </cell>
          <cell r="BL30" t="str">
            <v>VTPS- I</v>
          </cell>
          <cell r="BM30">
            <v>2</v>
          </cell>
          <cell r="BN30">
            <v>1.0464</v>
          </cell>
          <cell r="BO30">
            <v>254.8</v>
          </cell>
          <cell r="BP30">
            <v>3486.572567187578</v>
          </cell>
          <cell r="BQ30">
            <v>254.8</v>
          </cell>
          <cell r="BS30" t="str">
            <v>VTPS- I</v>
          </cell>
          <cell r="BT30">
            <v>2</v>
          </cell>
          <cell r="BU30">
            <v>1.0464</v>
          </cell>
          <cell r="BV30">
            <v>227.5</v>
          </cell>
          <cell r="BW30">
            <v>3250.5999402188077</v>
          </cell>
          <cell r="BX30">
            <v>227.5</v>
          </cell>
          <cell r="BZ30" t="str">
            <v>VTPS- I</v>
          </cell>
          <cell r="CA30">
            <v>2</v>
          </cell>
          <cell r="CB30">
            <v>1.0464</v>
          </cell>
          <cell r="CC30">
            <v>254.8</v>
          </cell>
          <cell r="CD30">
            <v>3482.0182920043208</v>
          </cell>
          <cell r="CE30">
            <v>254.8</v>
          </cell>
        </row>
        <row r="31">
          <cell r="A31" t="str">
            <v>VTPS- II</v>
          </cell>
          <cell r="B31">
            <v>2</v>
          </cell>
          <cell r="C31">
            <v>1.0464</v>
          </cell>
          <cell r="D31">
            <v>259.35000000000002</v>
          </cell>
          <cell r="E31">
            <v>3055.3553649568998</v>
          </cell>
          <cell r="F31">
            <v>259.35000000000002</v>
          </cell>
          <cell r="H31" t="str">
            <v>VTPS- II</v>
          </cell>
          <cell r="I31">
            <v>2</v>
          </cell>
          <cell r="J31">
            <v>1.0464</v>
          </cell>
          <cell r="K31">
            <v>263.89999999999998</v>
          </cell>
          <cell r="L31">
            <v>3088.9426438111013</v>
          </cell>
          <cell r="M31">
            <v>263.89999999999998</v>
          </cell>
          <cell r="O31" t="str">
            <v>VTPS- II</v>
          </cell>
          <cell r="P31">
            <v>2</v>
          </cell>
          <cell r="Q31">
            <v>1.0464</v>
          </cell>
          <cell r="R31">
            <v>259.35000000000002</v>
          </cell>
          <cell r="S31">
            <v>3022.6728062565153</v>
          </cell>
          <cell r="T31">
            <v>259.35000000000002</v>
          </cell>
          <cell r="V31" t="str">
            <v>VTPS- II</v>
          </cell>
          <cell r="W31">
            <v>2</v>
          </cell>
          <cell r="X31">
            <v>1.0464</v>
          </cell>
          <cell r="Y31">
            <v>263.89999999999998</v>
          </cell>
          <cell r="Z31">
            <v>3016.4760638836201</v>
          </cell>
          <cell r="AA31">
            <v>263.89999999999998</v>
          </cell>
          <cell r="AC31" t="str">
            <v>VTPS- II</v>
          </cell>
          <cell r="AD31">
            <v>2</v>
          </cell>
          <cell r="AE31">
            <v>1.0464</v>
          </cell>
          <cell r="AF31">
            <v>200.2</v>
          </cell>
          <cell r="AG31">
            <v>3468.9504460729531</v>
          </cell>
          <cell r="AH31">
            <v>200.2</v>
          </cell>
          <cell r="AJ31" t="str">
            <v>VTPS- II</v>
          </cell>
          <cell r="AK31">
            <v>2</v>
          </cell>
          <cell r="AL31">
            <v>1.0464</v>
          </cell>
          <cell r="AM31">
            <v>259.35000000000002</v>
          </cell>
          <cell r="AN31">
            <v>3590.371607532566</v>
          </cell>
          <cell r="AO31">
            <v>259.35000000000002</v>
          </cell>
          <cell r="AQ31" t="str">
            <v>VTPS- II</v>
          </cell>
          <cell r="AR31">
            <v>2</v>
          </cell>
          <cell r="AS31">
            <v>1.0464</v>
          </cell>
          <cell r="AT31">
            <v>200.2</v>
          </cell>
          <cell r="AU31">
            <v>3838.1185497203296</v>
          </cell>
          <cell r="AV31">
            <v>200.2</v>
          </cell>
          <cell r="AX31" t="str">
            <v>VTPS- II</v>
          </cell>
          <cell r="AY31">
            <v>2</v>
          </cell>
          <cell r="AZ31">
            <v>1.0464</v>
          </cell>
          <cell r="BA31">
            <v>175.63</v>
          </cell>
          <cell r="BB31">
            <v>3479.2048762916411</v>
          </cell>
          <cell r="BC31">
            <v>175.63</v>
          </cell>
          <cell r="BE31" t="str">
            <v>VTPS- II</v>
          </cell>
          <cell r="BF31">
            <v>2</v>
          </cell>
          <cell r="BG31">
            <v>1.0464</v>
          </cell>
          <cell r="BH31">
            <v>263.89999999999998</v>
          </cell>
          <cell r="BI31">
            <v>3659.747098125702</v>
          </cell>
          <cell r="BJ31">
            <v>263.89999999999998</v>
          </cell>
          <cell r="BL31" t="str">
            <v>VTPS- II</v>
          </cell>
          <cell r="BM31">
            <v>2</v>
          </cell>
          <cell r="BN31">
            <v>1.0464</v>
          </cell>
          <cell r="BO31">
            <v>263.89999999999998</v>
          </cell>
          <cell r="BP31">
            <v>3750.4725671875781</v>
          </cell>
          <cell r="BQ31">
            <v>263.89999999999998</v>
          </cell>
          <cell r="BS31" t="str">
            <v>VTPS- II</v>
          </cell>
          <cell r="BT31">
            <v>2</v>
          </cell>
          <cell r="BU31">
            <v>1.0464</v>
          </cell>
          <cell r="BV31">
            <v>236.6</v>
          </cell>
          <cell r="BW31">
            <v>3487.1999402188076</v>
          </cell>
          <cell r="BX31">
            <v>236.6</v>
          </cell>
          <cell r="BZ31" t="str">
            <v>VTPS- II</v>
          </cell>
          <cell r="CA31">
            <v>2</v>
          </cell>
          <cell r="CB31">
            <v>1.0464</v>
          </cell>
          <cell r="CC31">
            <v>263.89999999999998</v>
          </cell>
          <cell r="CD31">
            <v>3745.9182920043208</v>
          </cell>
          <cell r="CE31">
            <v>263.89999999999998</v>
          </cell>
        </row>
        <row r="32">
          <cell r="A32" t="str">
            <v>VTPS- III</v>
          </cell>
          <cell r="B32">
            <v>2</v>
          </cell>
          <cell r="C32">
            <v>1.0464</v>
          </cell>
          <cell r="D32">
            <v>259.35000000000002</v>
          </cell>
          <cell r="E32">
            <v>3314.7053649568998</v>
          </cell>
          <cell r="F32">
            <v>259.35000000000002</v>
          </cell>
          <cell r="H32" t="str">
            <v>VTPS- III</v>
          </cell>
          <cell r="I32">
            <v>2</v>
          </cell>
          <cell r="J32">
            <v>1.0464</v>
          </cell>
          <cell r="K32">
            <v>263.89999999999998</v>
          </cell>
          <cell r="L32">
            <v>3352.8426438111014</v>
          </cell>
          <cell r="M32">
            <v>263.89999999999998</v>
          </cell>
          <cell r="O32" t="str">
            <v>VTPS- III</v>
          </cell>
          <cell r="P32">
            <v>2</v>
          </cell>
          <cell r="Q32">
            <v>1.0464</v>
          </cell>
          <cell r="R32">
            <v>259.35000000000002</v>
          </cell>
          <cell r="S32">
            <v>3282.0228062565152</v>
          </cell>
          <cell r="T32">
            <v>259.35000000000002</v>
          </cell>
          <cell r="V32" t="str">
            <v>VTPS- III</v>
          </cell>
          <cell r="W32">
            <v>2</v>
          </cell>
          <cell r="X32">
            <v>1.0464</v>
          </cell>
          <cell r="Y32">
            <v>263.89999999999998</v>
          </cell>
          <cell r="Z32">
            <v>3280.3760638836202</v>
          </cell>
          <cell r="AA32">
            <v>263.89999999999998</v>
          </cell>
          <cell r="AC32" t="str">
            <v>VTPS- III</v>
          </cell>
          <cell r="AD32">
            <v>2</v>
          </cell>
          <cell r="AE32">
            <v>1.0464</v>
          </cell>
          <cell r="AF32">
            <v>263.89999999999998</v>
          </cell>
          <cell r="AG32">
            <v>3732.8504460729532</v>
          </cell>
          <cell r="AH32">
            <v>263.89999999999998</v>
          </cell>
          <cell r="AJ32" t="str">
            <v>VTPS- III</v>
          </cell>
          <cell r="AK32">
            <v>2</v>
          </cell>
          <cell r="AL32">
            <v>1.0464</v>
          </cell>
          <cell r="AM32">
            <v>175.63</v>
          </cell>
          <cell r="AN32">
            <v>3766.0016075325661</v>
          </cell>
          <cell r="AO32">
            <v>175.63</v>
          </cell>
          <cell r="AQ32" t="str">
            <v>VTPS- III</v>
          </cell>
          <cell r="AR32">
            <v>2</v>
          </cell>
          <cell r="AS32">
            <v>1.0464</v>
          </cell>
          <cell r="AT32">
            <v>200.2</v>
          </cell>
          <cell r="AU32">
            <v>4038.3185497203294</v>
          </cell>
          <cell r="AV32">
            <v>200.2</v>
          </cell>
          <cell r="AX32" t="str">
            <v>VTPS- III</v>
          </cell>
          <cell r="AY32">
            <v>2</v>
          </cell>
          <cell r="AZ32">
            <v>1.0464</v>
          </cell>
          <cell r="BA32">
            <v>258.44</v>
          </cell>
          <cell r="BB32">
            <v>3737.6448762916411</v>
          </cell>
          <cell r="BC32">
            <v>258.44</v>
          </cell>
          <cell r="BE32" t="str">
            <v>VTPS- III</v>
          </cell>
          <cell r="BF32">
            <v>2</v>
          </cell>
          <cell r="BG32">
            <v>1.0464</v>
          </cell>
          <cell r="BH32">
            <v>200.2</v>
          </cell>
          <cell r="BI32">
            <v>3859.9470981257018</v>
          </cell>
          <cell r="BJ32">
            <v>200.2</v>
          </cell>
          <cell r="BL32" t="str">
            <v>VTPS- III</v>
          </cell>
          <cell r="BM32">
            <v>2</v>
          </cell>
          <cell r="BN32">
            <v>1.0464</v>
          </cell>
          <cell r="BO32">
            <v>263.89999999999998</v>
          </cell>
          <cell r="BP32">
            <v>4014.3725671875782</v>
          </cell>
          <cell r="BQ32">
            <v>263.89999999999998</v>
          </cell>
          <cell r="BS32" t="str">
            <v>VTPS- III</v>
          </cell>
          <cell r="BT32">
            <v>2</v>
          </cell>
          <cell r="BU32">
            <v>1.0464</v>
          </cell>
          <cell r="BV32">
            <v>236.6</v>
          </cell>
          <cell r="BW32">
            <v>3723.7999402188075</v>
          </cell>
          <cell r="BX32">
            <v>236.6</v>
          </cell>
          <cell r="BZ32" t="str">
            <v>VTPS- III</v>
          </cell>
          <cell r="CA32">
            <v>2</v>
          </cell>
          <cell r="CB32">
            <v>1.0464</v>
          </cell>
          <cell r="CC32">
            <v>263.89999999999998</v>
          </cell>
          <cell r="CD32">
            <v>4009.8182920043209</v>
          </cell>
          <cell r="CE32">
            <v>263.89999999999998</v>
          </cell>
        </row>
        <row r="33">
          <cell r="A33" t="str">
            <v>NLC-II</v>
          </cell>
          <cell r="B33">
            <v>2</v>
          </cell>
          <cell r="C33">
            <v>1.0465569210791761</v>
          </cell>
          <cell r="D33">
            <v>82.72</v>
          </cell>
          <cell r="E33">
            <v>3397.4253649568996</v>
          </cell>
          <cell r="F33">
            <v>82.72</v>
          </cell>
          <cell r="H33" t="str">
            <v>NLC-II</v>
          </cell>
          <cell r="I33">
            <v>2</v>
          </cell>
          <cell r="J33">
            <v>1.0465569210791761</v>
          </cell>
          <cell r="K33">
            <v>85.79</v>
          </cell>
          <cell r="L33">
            <v>3438.6326438111014</v>
          </cell>
          <cell r="M33">
            <v>85.79</v>
          </cell>
          <cell r="O33" t="str">
            <v>NLC-II</v>
          </cell>
          <cell r="P33">
            <v>2</v>
          </cell>
          <cell r="Q33">
            <v>1.0465569210791761</v>
          </cell>
          <cell r="R33">
            <v>82.92</v>
          </cell>
          <cell r="S33">
            <v>3364.9428062565153</v>
          </cell>
          <cell r="T33">
            <v>82.92</v>
          </cell>
          <cell r="V33" t="str">
            <v>NLC-II</v>
          </cell>
          <cell r="W33">
            <v>2</v>
          </cell>
          <cell r="X33">
            <v>1.0465569210791761</v>
          </cell>
          <cell r="Y33">
            <v>75.55</v>
          </cell>
          <cell r="Z33">
            <v>3355.9260638836204</v>
          </cell>
          <cell r="AA33">
            <v>75.55</v>
          </cell>
          <cell r="AC33" t="str">
            <v>NLC-II</v>
          </cell>
          <cell r="AD33">
            <v>2</v>
          </cell>
          <cell r="AE33">
            <v>1.0465569210791761</v>
          </cell>
          <cell r="AF33">
            <v>66.34</v>
          </cell>
          <cell r="AG33">
            <v>3799.1904460729534</v>
          </cell>
          <cell r="AH33">
            <v>66.34</v>
          </cell>
          <cell r="AJ33" t="str">
            <v>NLC-II</v>
          </cell>
          <cell r="AK33">
            <v>2</v>
          </cell>
          <cell r="AL33">
            <v>1.0465569210791761</v>
          </cell>
          <cell r="AM33">
            <v>50.98</v>
          </cell>
          <cell r="AN33">
            <v>3816.9816075325662</v>
          </cell>
          <cell r="AO33">
            <v>50.98</v>
          </cell>
          <cell r="AQ33" t="str">
            <v>NLC-II</v>
          </cell>
          <cell r="AR33">
            <v>2</v>
          </cell>
          <cell r="AS33">
            <v>1.0465569210791761</v>
          </cell>
          <cell r="AT33">
            <v>63.47</v>
          </cell>
          <cell r="AU33">
            <v>4101.7885497203297</v>
          </cell>
          <cell r="AV33">
            <v>63.47</v>
          </cell>
          <cell r="AX33" t="str">
            <v>NLC-II</v>
          </cell>
          <cell r="AY33">
            <v>2</v>
          </cell>
          <cell r="AZ33">
            <v>1.0465569210791761</v>
          </cell>
          <cell r="BA33">
            <v>61.01</v>
          </cell>
          <cell r="BB33">
            <v>3798.6548762916414</v>
          </cell>
          <cell r="BC33">
            <v>61.01</v>
          </cell>
          <cell r="BE33" t="str">
            <v>NLC-II</v>
          </cell>
          <cell r="BF33">
            <v>2</v>
          </cell>
          <cell r="BG33">
            <v>1.0465569210791761</v>
          </cell>
          <cell r="BH33">
            <v>58.15</v>
          </cell>
          <cell r="BI33">
            <v>3918.0970981257019</v>
          </cell>
          <cell r="BJ33">
            <v>58.15</v>
          </cell>
          <cell r="BL33" t="str">
            <v>NLC-II</v>
          </cell>
          <cell r="BM33">
            <v>2</v>
          </cell>
          <cell r="BN33">
            <v>1.0465569210791761</v>
          </cell>
          <cell r="BO33">
            <v>85.58</v>
          </cell>
          <cell r="BP33">
            <v>4099.9525671875781</v>
          </cell>
          <cell r="BQ33">
            <v>85.58</v>
          </cell>
          <cell r="BS33" t="str">
            <v>NLC-II</v>
          </cell>
          <cell r="BT33">
            <v>2</v>
          </cell>
          <cell r="BU33">
            <v>1.0465569210791761</v>
          </cell>
          <cell r="BV33">
            <v>76.78</v>
          </cell>
          <cell r="BW33">
            <v>3800.5799402188077</v>
          </cell>
          <cell r="BX33">
            <v>76.78</v>
          </cell>
          <cell r="BZ33" t="str">
            <v>NLC-II</v>
          </cell>
          <cell r="CA33">
            <v>2</v>
          </cell>
          <cell r="CB33">
            <v>1.0465569210791761</v>
          </cell>
          <cell r="CC33">
            <v>85.58</v>
          </cell>
          <cell r="CD33">
            <v>4095.3982920043209</v>
          </cell>
          <cell r="CE33">
            <v>85.58</v>
          </cell>
        </row>
        <row r="34">
          <cell r="A34" t="str">
            <v>Srivathsa</v>
          </cell>
          <cell r="B34">
            <v>2</v>
          </cell>
          <cell r="C34">
            <v>1.0509999999999999</v>
          </cell>
          <cell r="D34">
            <v>7.97</v>
          </cell>
          <cell r="E34">
            <v>3405.3953649568994</v>
          </cell>
          <cell r="F34">
            <v>7.97</v>
          </cell>
          <cell r="H34" t="str">
            <v>Srivathsa</v>
          </cell>
          <cell r="I34">
            <v>2</v>
          </cell>
          <cell r="J34">
            <v>1.0509999999999999</v>
          </cell>
          <cell r="K34">
            <v>8.1</v>
          </cell>
          <cell r="L34">
            <v>3446.7326438111013</v>
          </cell>
          <cell r="M34">
            <v>8.1</v>
          </cell>
          <cell r="O34" t="str">
            <v>Srivathsa</v>
          </cell>
          <cell r="P34">
            <v>2</v>
          </cell>
          <cell r="Q34">
            <v>1.0509999999999999</v>
          </cell>
          <cell r="R34">
            <v>8.1199999999999992</v>
          </cell>
          <cell r="S34">
            <v>3373.0628062565152</v>
          </cell>
          <cell r="T34">
            <v>8.1199999999999992</v>
          </cell>
          <cell r="V34" t="str">
            <v>Srivathsa</v>
          </cell>
          <cell r="W34">
            <v>2</v>
          </cell>
          <cell r="X34">
            <v>1.0509999999999999</v>
          </cell>
          <cell r="Y34">
            <v>8</v>
          </cell>
          <cell r="Z34">
            <v>3363.9260638836204</v>
          </cell>
          <cell r="AA34">
            <v>8</v>
          </cell>
          <cell r="AC34" t="str">
            <v>Srivathsa</v>
          </cell>
          <cell r="AD34">
            <v>2</v>
          </cell>
          <cell r="AE34">
            <v>1.0509999999999999</v>
          </cell>
          <cell r="AF34">
            <v>8</v>
          </cell>
          <cell r="AG34">
            <v>3807.1904460729534</v>
          </cell>
          <cell r="AH34">
            <v>8</v>
          </cell>
          <cell r="AJ34" t="str">
            <v>Srivathsa</v>
          </cell>
          <cell r="AK34">
            <v>2</v>
          </cell>
          <cell r="AL34">
            <v>1.0509999999999999</v>
          </cell>
          <cell r="AM34">
            <v>8.16</v>
          </cell>
          <cell r="AN34">
            <v>3825.141607532566</v>
          </cell>
          <cell r="AO34">
            <v>8.16</v>
          </cell>
          <cell r="AQ34" t="str">
            <v>Srivathsa</v>
          </cell>
          <cell r="AR34">
            <v>2</v>
          </cell>
          <cell r="AS34">
            <v>1.0509999999999999</v>
          </cell>
          <cell r="AT34">
            <v>8.18</v>
          </cell>
          <cell r="AU34">
            <v>4109.96854972033</v>
          </cell>
          <cell r="AV34">
            <v>2.0615773344652553</v>
          </cell>
          <cell r="AX34" t="str">
            <v>Srivathsa</v>
          </cell>
          <cell r="AY34">
            <v>2</v>
          </cell>
          <cell r="AZ34">
            <v>1.0509999999999999</v>
          </cell>
          <cell r="BA34">
            <v>8.18</v>
          </cell>
          <cell r="BB34">
            <v>3806.8348762916412</v>
          </cell>
          <cell r="BC34">
            <v>8.18</v>
          </cell>
          <cell r="BE34" t="str">
            <v>Srivathsa</v>
          </cell>
          <cell r="BF34">
            <v>2</v>
          </cell>
          <cell r="BG34">
            <v>1.0509999999999999</v>
          </cell>
          <cell r="BH34">
            <v>8.18</v>
          </cell>
          <cell r="BI34">
            <v>3926.2770981257017</v>
          </cell>
          <cell r="BJ34">
            <v>8.18</v>
          </cell>
          <cell r="BL34" t="str">
            <v>Srivathsa</v>
          </cell>
          <cell r="BM34">
            <v>2</v>
          </cell>
          <cell r="BN34">
            <v>1.0509999999999999</v>
          </cell>
          <cell r="BO34">
            <v>7.98</v>
          </cell>
          <cell r="BP34">
            <v>4107.9325671875777</v>
          </cell>
          <cell r="BQ34">
            <v>7.98</v>
          </cell>
          <cell r="BS34" t="str">
            <v>Srivathsa</v>
          </cell>
          <cell r="BT34">
            <v>2</v>
          </cell>
          <cell r="BU34">
            <v>1.0509999999999999</v>
          </cell>
          <cell r="BV34">
            <v>8.16</v>
          </cell>
          <cell r="BW34">
            <v>3808.7399402188075</v>
          </cell>
          <cell r="BX34">
            <v>8.16</v>
          </cell>
          <cell r="BZ34" t="str">
            <v>Srivathsa</v>
          </cell>
          <cell r="CA34">
            <v>2</v>
          </cell>
          <cell r="CB34">
            <v>1.0509999999999999</v>
          </cell>
          <cell r="CC34">
            <v>8.02</v>
          </cell>
          <cell r="CD34">
            <v>4103.4182920043213</v>
          </cell>
          <cell r="CE34">
            <v>8.02</v>
          </cell>
        </row>
        <row r="35">
          <cell r="A35" t="str">
            <v>Kondapalli</v>
          </cell>
          <cell r="B35">
            <v>2</v>
          </cell>
          <cell r="C35">
            <v>1.101</v>
          </cell>
          <cell r="D35">
            <v>190.65616545700914</v>
          </cell>
          <cell r="E35">
            <v>3596.0515304139085</v>
          </cell>
          <cell r="F35">
            <v>170.12952668746357</v>
          </cell>
          <cell r="H35" t="str">
            <v>Kondapalli</v>
          </cell>
          <cell r="I35">
            <v>2</v>
          </cell>
          <cell r="J35">
            <v>1.101</v>
          </cell>
          <cell r="K35">
            <v>216.55216545700912</v>
          </cell>
          <cell r="L35">
            <v>3663.2848092681106</v>
          </cell>
          <cell r="M35">
            <v>216.55216545700912</v>
          </cell>
          <cell r="O35" t="str">
            <v>Kondapalli</v>
          </cell>
          <cell r="P35">
            <v>2</v>
          </cell>
          <cell r="Q35">
            <v>1.101</v>
          </cell>
          <cell r="R35">
            <v>212.23616545700915</v>
          </cell>
          <cell r="S35">
            <v>3585.2989717135242</v>
          </cell>
          <cell r="T35">
            <v>212.23616545700915</v>
          </cell>
          <cell r="V35" t="str">
            <v>Kondapalli</v>
          </cell>
          <cell r="W35">
            <v>2</v>
          </cell>
          <cell r="X35">
            <v>1.101</v>
          </cell>
          <cell r="Y35">
            <v>216.49116545700909</v>
          </cell>
          <cell r="Z35">
            <v>3580.4172293406295</v>
          </cell>
          <cell r="AA35">
            <v>216.49116545700909</v>
          </cell>
          <cell r="AC35" t="str">
            <v>Kondapalli</v>
          </cell>
          <cell r="AD35">
            <v>2</v>
          </cell>
          <cell r="AE35">
            <v>1.101</v>
          </cell>
          <cell r="AF35">
            <v>216.55216545700912</v>
          </cell>
          <cell r="AG35">
            <v>4023.7426115299627</v>
          </cell>
          <cell r="AH35">
            <v>27.614313154239881</v>
          </cell>
          <cell r="AJ35" t="str">
            <v>Kondapalli</v>
          </cell>
          <cell r="AK35">
            <v>2</v>
          </cell>
          <cell r="AL35">
            <v>1.101</v>
          </cell>
          <cell r="AM35">
            <v>212.23616545700915</v>
          </cell>
          <cell r="AN35">
            <v>4037.3777729895751</v>
          </cell>
          <cell r="AO35">
            <v>104.82678030618445</v>
          </cell>
          <cell r="AQ35" t="str">
            <v>Kondapalli</v>
          </cell>
          <cell r="AR35">
            <v>2</v>
          </cell>
          <cell r="AS35">
            <v>1.101</v>
          </cell>
          <cell r="AT35">
            <v>196.09216787632423</v>
          </cell>
          <cell r="AU35">
            <v>4306.0607175966543</v>
          </cell>
          <cell r="AV35">
            <v>0</v>
          </cell>
          <cell r="AX35" t="str">
            <v>Kondapalli</v>
          </cell>
          <cell r="AY35">
            <v>2</v>
          </cell>
          <cell r="AZ35">
            <v>1.101</v>
          </cell>
          <cell r="BA35">
            <v>213.11116787632423</v>
          </cell>
          <cell r="BB35">
            <v>4019.9460441679653</v>
          </cell>
          <cell r="BC35">
            <v>108.94001321857831</v>
          </cell>
          <cell r="BE35" t="str">
            <v>Kondapalli</v>
          </cell>
          <cell r="BF35">
            <v>2</v>
          </cell>
          <cell r="BG35">
            <v>1.101</v>
          </cell>
          <cell r="BH35">
            <v>200.10216787632419</v>
          </cell>
          <cell r="BI35">
            <v>4126.3792660020263</v>
          </cell>
          <cell r="BJ35">
            <v>78.077607306263417</v>
          </cell>
          <cell r="BL35" t="str">
            <v>Kondapalli</v>
          </cell>
          <cell r="BM35">
            <v>2</v>
          </cell>
          <cell r="BN35">
            <v>1.101</v>
          </cell>
          <cell r="BO35">
            <v>217.42716787632421</v>
          </cell>
          <cell r="BP35">
            <v>4325.359735063902</v>
          </cell>
          <cell r="BQ35">
            <v>86.606047274328375</v>
          </cell>
          <cell r="BS35" t="str">
            <v>Kondapalli</v>
          </cell>
          <cell r="BT35">
            <v>2</v>
          </cell>
          <cell r="BU35">
            <v>1.101</v>
          </cell>
          <cell r="BV35">
            <v>195.97016787632421</v>
          </cell>
          <cell r="BW35">
            <v>4004.7101080951315</v>
          </cell>
          <cell r="BX35">
            <v>195.97016787632421</v>
          </cell>
          <cell r="BZ35" t="str">
            <v>Kondapalli</v>
          </cell>
          <cell r="CA35">
            <v>2</v>
          </cell>
          <cell r="CB35">
            <v>1.101</v>
          </cell>
          <cell r="CC35">
            <v>217.36616787632417</v>
          </cell>
          <cell r="CD35">
            <v>4320.784459880645</v>
          </cell>
          <cell r="CE35">
            <v>80.672225074053131</v>
          </cell>
        </row>
        <row r="36">
          <cell r="A36" t="str">
            <v>Farakka</v>
          </cell>
          <cell r="B36">
            <v>2</v>
          </cell>
          <cell r="C36">
            <v>1.1022751098566939</v>
          </cell>
          <cell r="D36">
            <v>10</v>
          </cell>
          <cell r="E36">
            <v>3606.0515304139085</v>
          </cell>
          <cell r="F36">
            <v>0</v>
          </cell>
          <cell r="H36" t="str">
            <v>Farakka</v>
          </cell>
          <cell r="I36">
            <v>2</v>
          </cell>
          <cell r="J36">
            <v>1.1022751098566939</v>
          </cell>
          <cell r="K36">
            <v>10.333333333333332</v>
          </cell>
          <cell r="L36">
            <v>3673.6181426014441</v>
          </cell>
          <cell r="M36">
            <v>10.333333333333332</v>
          </cell>
          <cell r="O36" t="str">
            <v>Farakka</v>
          </cell>
          <cell r="P36">
            <v>2</v>
          </cell>
          <cell r="Q36">
            <v>1.1022751098566939</v>
          </cell>
          <cell r="R36">
            <v>10</v>
          </cell>
          <cell r="S36">
            <v>3595.2989717135242</v>
          </cell>
          <cell r="T36">
            <v>4.0239626460465843</v>
          </cell>
          <cell r="V36" t="str">
            <v>Farakka</v>
          </cell>
          <cell r="W36">
            <v>2</v>
          </cell>
          <cell r="X36">
            <v>1.1022751098566939</v>
          </cell>
          <cell r="Y36">
            <v>10.333333333333332</v>
          </cell>
          <cell r="Z36">
            <v>3590.750562673963</v>
          </cell>
          <cell r="AA36">
            <v>10.333333333333332</v>
          </cell>
          <cell r="AC36" t="str">
            <v>Farakka</v>
          </cell>
          <cell r="AD36">
            <v>2</v>
          </cell>
          <cell r="AE36">
            <v>1.1022751098566939</v>
          </cell>
          <cell r="AF36">
            <v>10.333333333333332</v>
          </cell>
          <cell r="AG36">
            <v>4034.0759448632962</v>
          </cell>
          <cell r="AH36">
            <v>0</v>
          </cell>
          <cell r="AJ36" t="str">
            <v>Farakka</v>
          </cell>
          <cell r="AK36">
            <v>2</v>
          </cell>
          <cell r="AL36">
            <v>1.1022751098566939</v>
          </cell>
          <cell r="AM36">
            <v>10</v>
          </cell>
          <cell r="AN36">
            <v>4047.3777729895751</v>
          </cell>
          <cell r="AO36">
            <v>0</v>
          </cell>
          <cell r="AQ36" t="str">
            <v>Farakka</v>
          </cell>
          <cell r="AR36">
            <v>2</v>
          </cell>
          <cell r="AS36">
            <v>1.1022751098566939</v>
          </cell>
          <cell r="AT36">
            <v>10.333333333333332</v>
          </cell>
          <cell r="AU36">
            <v>4316.3940509299873</v>
          </cell>
          <cell r="AV36">
            <v>0</v>
          </cell>
          <cell r="AX36" t="str">
            <v>Farakka</v>
          </cell>
          <cell r="AY36">
            <v>2</v>
          </cell>
          <cell r="AZ36">
            <v>1.1022751098566939</v>
          </cell>
          <cell r="BA36">
            <v>10</v>
          </cell>
          <cell r="BB36">
            <v>4029.9460441679653</v>
          </cell>
          <cell r="BC36">
            <v>0</v>
          </cell>
          <cell r="BE36" t="str">
            <v>Farakka</v>
          </cell>
          <cell r="BF36">
            <v>2</v>
          </cell>
          <cell r="BG36">
            <v>1.1022751098566939</v>
          </cell>
          <cell r="BH36">
            <v>10.333333333333332</v>
          </cell>
          <cell r="BI36">
            <v>4136.7125993353593</v>
          </cell>
          <cell r="BJ36">
            <v>0</v>
          </cell>
          <cell r="BL36" t="str">
            <v>Farakka</v>
          </cell>
          <cell r="BM36">
            <v>2</v>
          </cell>
          <cell r="BN36">
            <v>1.1022751098566939</v>
          </cell>
          <cell r="BO36">
            <v>10.333333333333332</v>
          </cell>
          <cell r="BP36">
            <v>4335.693068397235</v>
          </cell>
          <cell r="BQ36">
            <v>0</v>
          </cell>
          <cell r="BS36" t="str">
            <v>Farakka</v>
          </cell>
          <cell r="BT36">
            <v>2</v>
          </cell>
          <cell r="BU36">
            <v>1.1022751098566939</v>
          </cell>
          <cell r="BV36">
            <v>9.3333333333333321</v>
          </cell>
          <cell r="BW36">
            <v>4014.043441428465</v>
          </cell>
          <cell r="BX36">
            <v>9.3333333333333321</v>
          </cell>
          <cell r="BZ36" t="str">
            <v>Farakka</v>
          </cell>
          <cell r="CA36">
            <v>2</v>
          </cell>
          <cell r="CB36">
            <v>1.1022751098566939</v>
          </cell>
          <cell r="CC36">
            <v>10.333333333333332</v>
          </cell>
          <cell r="CD36">
            <v>4331.1177932139781</v>
          </cell>
          <cell r="CE36">
            <v>0</v>
          </cell>
        </row>
        <row r="37">
          <cell r="A37" t="str">
            <v>Kahalgaon</v>
          </cell>
          <cell r="B37">
            <v>2</v>
          </cell>
          <cell r="C37">
            <v>1.2304466342586347</v>
          </cell>
          <cell r="D37">
            <v>15.5</v>
          </cell>
          <cell r="E37">
            <v>3621.5515304139085</v>
          </cell>
          <cell r="F37">
            <v>0</v>
          </cell>
          <cell r="H37" t="str">
            <v>Kahalgaon</v>
          </cell>
          <cell r="I37">
            <v>2</v>
          </cell>
          <cell r="J37">
            <v>1.2304466342586347</v>
          </cell>
          <cell r="K37">
            <v>16.016666666666669</v>
          </cell>
          <cell r="L37">
            <v>3689.634809268111</v>
          </cell>
          <cell r="M37">
            <v>14.039153423236257</v>
          </cell>
          <cell r="O37" t="str">
            <v>Kahalgaon</v>
          </cell>
          <cell r="P37">
            <v>2</v>
          </cell>
          <cell r="Q37">
            <v>1.2304466342586347</v>
          </cell>
          <cell r="R37">
            <v>15.5</v>
          </cell>
          <cell r="S37">
            <v>3610.7989717135242</v>
          </cell>
          <cell r="T37">
            <v>0</v>
          </cell>
          <cell r="V37" t="str">
            <v>Kahalgaon</v>
          </cell>
          <cell r="W37">
            <v>2</v>
          </cell>
          <cell r="X37">
            <v>1.2304466342586347</v>
          </cell>
          <cell r="Y37">
            <v>16.016666666666669</v>
          </cell>
          <cell r="Z37">
            <v>3606.7672293406299</v>
          </cell>
          <cell r="AA37">
            <v>16.016666666666669</v>
          </cell>
          <cell r="AC37" t="str">
            <v>Kahalgaon</v>
          </cell>
          <cell r="AD37">
            <v>2</v>
          </cell>
          <cell r="AE37">
            <v>1.2304466342586347</v>
          </cell>
          <cell r="AF37">
            <v>16.016666666666669</v>
          </cell>
          <cell r="AG37">
            <v>4050.0926115299631</v>
          </cell>
          <cell r="AH37">
            <v>0</v>
          </cell>
          <cell r="AJ37" t="str">
            <v>Kahalgaon</v>
          </cell>
          <cell r="AK37">
            <v>2</v>
          </cell>
          <cell r="AL37">
            <v>1.2304466342586347</v>
          </cell>
          <cell r="AM37">
            <v>15.5</v>
          </cell>
          <cell r="AN37">
            <v>4062.8777729895751</v>
          </cell>
          <cell r="AO37">
            <v>0</v>
          </cell>
          <cell r="AQ37" t="str">
            <v>Kahalgaon</v>
          </cell>
          <cell r="AR37">
            <v>2</v>
          </cell>
          <cell r="AS37">
            <v>1.2304466342586347</v>
          </cell>
          <cell r="AT37">
            <v>16.016666666666669</v>
          </cell>
          <cell r="AU37">
            <v>4332.4107175966537</v>
          </cell>
          <cell r="AV37">
            <v>0</v>
          </cell>
          <cell r="AX37" t="str">
            <v>Kahalgaon</v>
          </cell>
          <cell r="AY37">
            <v>2</v>
          </cell>
          <cell r="AZ37">
            <v>1.2304466342586347</v>
          </cell>
          <cell r="BA37">
            <v>15.5</v>
          </cell>
          <cell r="BB37">
            <v>4045.4460441679653</v>
          </cell>
          <cell r="BC37">
            <v>0</v>
          </cell>
          <cell r="BE37" t="str">
            <v>Kahalgaon</v>
          </cell>
          <cell r="BF37">
            <v>2</v>
          </cell>
          <cell r="BG37">
            <v>1.2304466342586347</v>
          </cell>
          <cell r="BH37">
            <v>16.016666666666669</v>
          </cell>
          <cell r="BI37">
            <v>4152.7292660020257</v>
          </cell>
          <cell r="BJ37">
            <v>0</v>
          </cell>
          <cell r="BL37" t="str">
            <v>Kahalgaon</v>
          </cell>
          <cell r="BM37">
            <v>2</v>
          </cell>
          <cell r="BN37">
            <v>1.2304466342586347</v>
          </cell>
          <cell r="BO37">
            <v>16.016666666666669</v>
          </cell>
          <cell r="BP37">
            <v>4351.7097350639015</v>
          </cell>
          <cell r="BQ37">
            <v>0</v>
          </cell>
          <cell r="BS37" t="str">
            <v>Kahalgaon</v>
          </cell>
          <cell r="BT37">
            <v>2</v>
          </cell>
          <cell r="BU37">
            <v>1.2304466342586347</v>
          </cell>
          <cell r="BV37">
            <v>14.466666666666669</v>
          </cell>
          <cell r="BW37">
            <v>4028.5101080951317</v>
          </cell>
          <cell r="BX37">
            <v>13.093655613533429</v>
          </cell>
          <cell r="BZ37" t="str">
            <v>Kahalgaon</v>
          </cell>
          <cell r="CA37">
            <v>2</v>
          </cell>
          <cell r="CB37">
            <v>1.2304466342586347</v>
          </cell>
          <cell r="CC37">
            <v>16.016666666666669</v>
          </cell>
          <cell r="CD37">
            <v>4347.1344598806445</v>
          </cell>
          <cell r="CE37">
            <v>0</v>
          </cell>
        </row>
        <row r="38">
          <cell r="A38" t="str">
            <v>NTS</v>
          </cell>
          <cell r="B38">
            <v>2</v>
          </cell>
          <cell r="C38">
            <v>1.39828</v>
          </cell>
          <cell r="D38">
            <v>12.9</v>
          </cell>
          <cell r="E38">
            <v>3634.4515304139086</v>
          </cell>
          <cell r="F38">
            <v>0</v>
          </cell>
          <cell r="H38" t="str">
            <v>NTS</v>
          </cell>
          <cell r="I38">
            <v>2</v>
          </cell>
          <cell r="J38">
            <v>1.39828</v>
          </cell>
          <cell r="K38">
            <v>12.9</v>
          </cell>
          <cell r="L38">
            <v>3702.5348092681111</v>
          </cell>
          <cell r="M38">
            <v>0</v>
          </cell>
          <cell r="O38" t="str">
            <v>NTS</v>
          </cell>
          <cell r="P38">
            <v>2</v>
          </cell>
          <cell r="Q38">
            <v>1.39828</v>
          </cell>
          <cell r="R38">
            <v>12.9</v>
          </cell>
          <cell r="S38">
            <v>3623.6989717135243</v>
          </cell>
          <cell r="T38">
            <v>0</v>
          </cell>
          <cell r="V38" t="str">
            <v>NTS</v>
          </cell>
          <cell r="W38">
            <v>2</v>
          </cell>
          <cell r="X38">
            <v>1.39828</v>
          </cell>
          <cell r="Y38">
            <v>12.9</v>
          </cell>
          <cell r="Z38">
            <v>3619.66722934063</v>
          </cell>
          <cell r="AA38">
            <v>8.1637851595346547</v>
          </cell>
          <cell r="AC38" t="str">
            <v>NTS</v>
          </cell>
          <cell r="AD38">
            <v>2</v>
          </cell>
          <cell r="AE38">
            <v>1.39828</v>
          </cell>
          <cell r="AF38">
            <v>12.9</v>
          </cell>
          <cell r="AG38">
            <v>4062.9926115299631</v>
          </cell>
          <cell r="AH38">
            <v>0</v>
          </cell>
          <cell r="AJ38" t="str">
            <v>NTS</v>
          </cell>
          <cell r="AK38">
            <v>2</v>
          </cell>
          <cell r="AL38">
            <v>1.39828</v>
          </cell>
          <cell r="AM38">
            <v>12.9</v>
          </cell>
          <cell r="AN38">
            <v>4075.7777729895752</v>
          </cell>
          <cell r="AO38">
            <v>0</v>
          </cell>
          <cell r="AQ38" t="str">
            <v>NTS</v>
          </cell>
          <cell r="AR38">
            <v>2</v>
          </cell>
          <cell r="AS38">
            <v>1.39828</v>
          </cell>
          <cell r="AT38">
            <v>8.6</v>
          </cell>
          <cell r="AU38">
            <v>4341.0107175966541</v>
          </cell>
          <cell r="AV38">
            <v>0</v>
          </cell>
          <cell r="AX38" t="str">
            <v>NTS</v>
          </cell>
          <cell r="AY38">
            <v>2</v>
          </cell>
          <cell r="AZ38">
            <v>1.39828</v>
          </cell>
          <cell r="BA38">
            <v>8.6</v>
          </cell>
          <cell r="BB38">
            <v>4054.0460441679652</v>
          </cell>
          <cell r="BC38">
            <v>0</v>
          </cell>
          <cell r="BE38" t="str">
            <v>NTS</v>
          </cell>
          <cell r="BF38">
            <v>2</v>
          </cell>
          <cell r="BG38">
            <v>1.39828</v>
          </cell>
          <cell r="BH38">
            <v>0</v>
          </cell>
          <cell r="BI38">
            <v>4152.7292660020257</v>
          </cell>
          <cell r="BJ38">
            <v>0</v>
          </cell>
          <cell r="BL38" t="str">
            <v>NTS</v>
          </cell>
          <cell r="BM38">
            <v>2</v>
          </cell>
          <cell r="BN38">
            <v>1.39828</v>
          </cell>
          <cell r="BO38">
            <v>12.9</v>
          </cell>
          <cell r="BP38">
            <v>4364.6097350639011</v>
          </cell>
          <cell r="BQ38">
            <v>0</v>
          </cell>
          <cell r="BS38" t="str">
            <v>NTS</v>
          </cell>
          <cell r="BT38">
            <v>2</v>
          </cell>
          <cell r="BU38">
            <v>1.39828</v>
          </cell>
          <cell r="BV38">
            <v>12.04</v>
          </cell>
          <cell r="BW38">
            <v>4040.5501080951317</v>
          </cell>
          <cell r="BX38">
            <v>0</v>
          </cell>
          <cell r="BZ38" t="str">
            <v>NTS</v>
          </cell>
          <cell r="CA38">
            <v>2</v>
          </cell>
          <cell r="CB38">
            <v>1.39828</v>
          </cell>
          <cell r="CC38">
            <v>12.9</v>
          </cell>
          <cell r="CD38">
            <v>4360.0344598806441</v>
          </cell>
          <cell r="CE38">
            <v>0</v>
          </cell>
        </row>
        <row r="39">
          <cell r="A39" t="str">
            <v>RTPP</v>
          </cell>
          <cell r="B39">
            <v>2</v>
          </cell>
          <cell r="C39">
            <v>1.4072</v>
          </cell>
          <cell r="D39">
            <v>262.45</v>
          </cell>
          <cell r="E39">
            <v>3896.9015304139084</v>
          </cell>
          <cell r="F39">
            <v>0</v>
          </cell>
          <cell r="H39" t="str">
            <v>RTPP</v>
          </cell>
          <cell r="I39">
            <v>2</v>
          </cell>
          <cell r="J39">
            <v>1.4072</v>
          </cell>
          <cell r="K39">
            <v>271.5</v>
          </cell>
          <cell r="L39">
            <v>3974.0348092681111</v>
          </cell>
          <cell r="M39">
            <v>0</v>
          </cell>
          <cell r="O39" t="str">
            <v>RTPP</v>
          </cell>
          <cell r="P39">
            <v>2</v>
          </cell>
          <cell r="Q39">
            <v>1.4072</v>
          </cell>
          <cell r="R39">
            <v>262.45</v>
          </cell>
          <cell r="S39">
            <v>3886.1489717135241</v>
          </cell>
          <cell r="T39">
            <v>0</v>
          </cell>
          <cell r="V39" t="str">
            <v>RTPP</v>
          </cell>
          <cell r="W39">
            <v>2</v>
          </cell>
          <cell r="X39">
            <v>1.4072</v>
          </cell>
          <cell r="Y39">
            <v>171.95</v>
          </cell>
          <cell r="Z39">
            <v>3791.6172293406298</v>
          </cell>
          <cell r="AA39">
            <v>0</v>
          </cell>
          <cell r="AC39" t="str">
            <v>RTPP</v>
          </cell>
          <cell r="AD39">
            <v>2</v>
          </cell>
          <cell r="AE39">
            <v>1.4072</v>
          </cell>
          <cell r="AF39">
            <v>171.95</v>
          </cell>
          <cell r="AG39">
            <v>4234.942611529963</v>
          </cell>
          <cell r="AH39">
            <v>0</v>
          </cell>
          <cell r="AJ39" t="str">
            <v>RTPP</v>
          </cell>
          <cell r="AK39">
            <v>2</v>
          </cell>
          <cell r="AL39">
            <v>1.4072</v>
          </cell>
          <cell r="AM39">
            <v>253.4</v>
          </cell>
          <cell r="AN39">
            <v>4329.1777729895748</v>
          </cell>
          <cell r="AO39">
            <v>0</v>
          </cell>
          <cell r="AQ39" t="str">
            <v>RTPP</v>
          </cell>
          <cell r="AR39">
            <v>2</v>
          </cell>
          <cell r="AS39">
            <v>1.4072</v>
          </cell>
          <cell r="AT39">
            <v>199.1</v>
          </cell>
          <cell r="AU39">
            <v>4540.1107175966545</v>
          </cell>
          <cell r="AV39">
            <v>0</v>
          </cell>
          <cell r="AX39" t="str">
            <v>RTPP</v>
          </cell>
          <cell r="AY39">
            <v>2</v>
          </cell>
          <cell r="AZ39">
            <v>1.4072</v>
          </cell>
          <cell r="BA39">
            <v>262.45</v>
          </cell>
          <cell r="BB39">
            <v>4316.496044167965</v>
          </cell>
          <cell r="BC39">
            <v>0</v>
          </cell>
          <cell r="BE39" t="str">
            <v>RTPP</v>
          </cell>
          <cell r="BF39">
            <v>2</v>
          </cell>
          <cell r="BG39">
            <v>1.4072</v>
          </cell>
          <cell r="BH39">
            <v>271.5</v>
          </cell>
          <cell r="BI39">
            <v>4424.2292660020257</v>
          </cell>
          <cell r="BJ39">
            <v>0</v>
          </cell>
          <cell r="BL39" t="str">
            <v>RTPP</v>
          </cell>
          <cell r="BM39">
            <v>2</v>
          </cell>
          <cell r="BN39">
            <v>1.4072</v>
          </cell>
          <cell r="BO39">
            <v>271.5</v>
          </cell>
          <cell r="BP39">
            <v>4636.1097350639011</v>
          </cell>
          <cell r="BQ39">
            <v>0</v>
          </cell>
          <cell r="BS39" t="str">
            <v>RTPP</v>
          </cell>
          <cell r="BT39">
            <v>2</v>
          </cell>
          <cell r="BU39">
            <v>1.4072</v>
          </cell>
          <cell r="BV39">
            <v>253.4</v>
          </cell>
          <cell r="BW39">
            <v>4293.9501080951313</v>
          </cell>
          <cell r="BX39">
            <v>0</v>
          </cell>
          <cell r="BZ39" t="str">
            <v>RTPP</v>
          </cell>
          <cell r="CA39">
            <v>2</v>
          </cell>
          <cell r="CB39">
            <v>1.4072</v>
          </cell>
          <cell r="CC39">
            <v>271.5</v>
          </cell>
          <cell r="CD39">
            <v>4631.5344598806441</v>
          </cell>
          <cell r="CE39">
            <v>0</v>
          </cell>
        </row>
        <row r="40">
          <cell r="A40" t="str">
            <v>VSP</v>
          </cell>
          <cell r="B40">
            <v>2</v>
          </cell>
          <cell r="C40">
            <v>1.76</v>
          </cell>
          <cell r="D40">
            <v>17.796610169491526</v>
          </cell>
          <cell r="E40">
            <v>3914.6981405833999</v>
          </cell>
          <cell r="F40">
            <v>0</v>
          </cell>
          <cell r="H40" t="str">
            <v>VSP</v>
          </cell>
          <cell r="I40">
            <v>2</v>
          </cell>
          <cell r="J40">
            <v>1.76</v>
          </cell>
          <cell r="K40">
            <v>17.796610169491526</v>
          </cell>
          <cell r="L40">
            <v>3991.8314194376026</v>
          </cell>
          <cell r="M40">
            <v>0</v>
          </cell>
          <cell r="O40" t="str">
            <v>VSP</v>
          </cell>
          <cell r="P40">
            <v>2</v>
          </cell>
          <cell r="Q40">
            <v>1.76</v>
          </cell>
          <cell r="R40">
            <v>17.796610169491526</v>
          </cell>
          <cell r="S40">
            <v>3903.9455818830156</v>
          </cell>
          <cell r="T40">
            <v>0</v>
          </cell>
          <cell r="V40" t="str">
            <v>VSP</v>
          </cell>
          <cell r="W40">
            <v>2</v>
          </cell>
          <cell r="X40">
            <v>1.76</v>
          </cell>
          <cell r="Y40">
            <v>16.016949152542374</v>
          </cell>
          <cell r="Z40">
            <v>3807.6341784931724</v>
          </cell>
          <cell r="AA40">
            <v>0</v>
          </cell>
          <cell r="AC40" t="str">
            <v>VSP</v>
          </cell>
          <cell r="AD40">
            <v>2</v>
          </cell>
          <cell r="AE40">
            <v>1.76</v>
          </cell>
          <cell r="AF40">
            <v>16.016949152542374</v>
          </cell>
          <cell r="AG40">
            <v>4250.9595606825051</v>
          </cell>
          <cell r="AH40">
            <v>0</v>
          </cell>
          <cell r="AJ40" t="str">
            <v>VSP</v>
          </cell>
          <cell r="AK40">
            <v>2</v>
          </cell>
          <cell r="AL40">
            <v>1.76</v>
          </cell>
          <cell r="AM40">
            <v>17.796610169491526</v>
          </cell>
          <cell r="AN40">
            <v>4346.9743831590667</v>
          </cell>
          <cell r="AO40">
            <v>0</v>
          </cell>
          <cell r="AQ40" t="str">
            <v>VSP</v>
          </cell>
          <cell r="AR40">
            <v>2</v>
          </cell>
          <cell r="AS40">
            <v>1.76</v>
          </cell>
          <cell r="AT40">
            <v>17.796610169491526</v>
          </cell>
          <cell r="AU40">
            <v>4557.9073277661464</v>
          </cell>
          <cell r="AV40">
            <v>0</v>
          </cell>
          <cell r="AX40" t="str">
            <v>VSP</v>
          </cell>
          <cell r="AY40">
            <v>2</v>
          </cell>
          <cell r="AZ40">
            <v>1.76</v>
          </cell>
          <cell r="BA40">
            <v>17.796610169491526</v>
          </cell>
          <cell r="BB40">
            <v>4334.292654337457</v>
          </cell>
          <cell r="BC40">
            <v>0</v>
          </cell>
          <cell r="BE40" t="str">
            <v>VSP</v>
          </cell>
          <cell r="BF40">
            <v>2</v>
          </cell>
          <cell r="BG40">
            <v>1.76</v>
          </cell>
          <cell r="BH40">
            <v>17.796610169491526</v>
          </cell>
          <cell r="BI40">
            <v>4442.0258761715177</v>
          </cell>
          <cell r="BJ40">
            <v>0</v>
          </cell>
          <cell r="BL40" t="str">
            <v>VSP</v>
          </cell>
          <cell r="BM40">
            <v>2</v>
          </cell>
          <cell r="BN40">
            <v>1.76</v>
          </cell>
          <cell r="BO40">
            <v>17.796610169491526</v>
          </cell>
          <cell r="BP40">
            <v>4653.906345233393</v>
          </cell>
          <cell r="BQ40">
            <v>0</v>
          </cell>
          <cell r="BS40" t="str">
            <v>VSP</v>
          </cell>
          <cell r="BT40">
            <v>2</v>
          </cell>
          <cell r="BU40">
            <v>1.76</v>
          </cell>
          <cell r="BV40">
            <v>17.796610169491526</v>
          </cell>
          <cell r="BW40">
            <v>4311.7467182646233</v>
          </cell>
          <cell r="BX40">
            <v>0</v>
          </cell>
          <cell r="BZ40" t="str">
            <v>VSP</v>
          </cell>
          <cell r="CA40">
            <v>2</v>
          </cell>
          <cell r="CB40">
            <v>1.76</v>
          </cell>
          <cell r="CC40">
            <v>17.796610169491526</v>
          </cell>
          <cell r="CD40">
            <v>4649.3310700501361</v>
          </cell>
          <cell r="CE40">
            <v>0</v>
          </cell>
        </row>
        <row r="41">
          <cell r="A41" t="str">
            <v>NBFA</v>
          </cell>
          <cell r="B41">
            <v>2</v>
          </cell>
          <cell r="C41">
            <v>1.76</v>
          </cell>
          <cell r="D41">
            <v>16.967380952380946</v>
          </cell>
          <cell r="E41">
            <v>3931.665521535781</v>
          </cell>
          <cell r="F41">
            <v>0</v>
          </cell>
          <cell r="H41" t="str">
            <v>NBFA</v>
          </cell>
          <cell r="I41">
            <v>2</v>
          </cell>
          <cell r="J41">
            <v>1.76</v>
          </cell>
          <cell r="K41">
            <v>16.967380952380946</v>
          </cell>
          <cell r="L41">
            <v>4008.7988003899836</v>
          </cell>
          <cell r="M41">
            <v>0</v>
          </cell>
          <cell r="O41" t="str">
            <v>NBFA</v>
          </cell>
          <cell r="P41">
            <v>2</v>
          </cell>
          <cell r="Q41">
            <v>1.76</v>
          </cell>
          <cell r="R41">
            <v>16.967380952380946</v>
          </cell>
          <cell r="S41">
            <v>3920.9129628353967</v>
          </cell>
          <cell r="T41">
            <v>0</v>
          </cell>
          <cell r="V41" t="str">
            <v>NBFA</v>
          </cell>
          <cell r="W41">
            <v>2</v>
          </cell>
          <cell r="X41">
            <v>1.76</v>
          </cell>
          <cell r="Y41">
            <v>16.967380952380946</v>
          </cell>
          <cell r="Z41">
            <v>3824.6015594455534</v>
          </cell>
          <cell r="AA41">
            <v>0</v>
          </cell>
          <cell r="AC41" t="str">
            <v>NBFA</v>
          </cell>
          <cell r="AD41">
            <v>2</v>
          </cell>
          <cell r="AE41">
            <v>1.76</v>
          </cell>
          <cell r="AF41">
            <v>16.967380952380946</v>
          </cell>
          <cell r="AG41">
            <v>4267.9269416348861</v>
          </cell>
          <cell r="AH41">
            <v>0</v>
          </cell>
          <cell r="AJ41" t="str">
            <v>NBFA</v>
          </cell>
          <cell r="AK41">
            <v>2</v>
          </cell>
          <cell r="AL41">
            <v>1.76</v>
          </cell>
          <cell r="AM41">
            <v>2.6934523809523809</v>
          </cell>
          <cell r="AN41">
            <v>4349.667835540019</v>
          </cell>
          <cell r="AO41">
            <v>0</v>
          </cell>
          <cell r="AQ41" t="str">
            <v>NBFA</v>
          </cell>
          <cell r="AR41">
            <v>2</v>
          </cell>
          <cell r="AS41">
            <v>1.76</v>
          </cell>
          <cell r="AT41">
            <v>2.6934523809523809</v>
          </cell>
          <cell r="AU41">
            <v>4560.6007801470987</v>
          </cell>
          <cell r="AV41">
            <v>0</v>
          </cell>
          <cell r="AX41" t="str">
            <v>NBFA</v>
          </cell>
          <cell r="AY41">
            <v>2</v>
          </cell>
          <cell r="AZ41">
            <v>1.76</v>
          </cell>
          <cell r="BA41">
            <v>16.967380952380946</v>
          </cell>
          <cell r="BB41">
            <v>4351.260035289838</v>
          </cell>
          <cell r="BC41">
            <v>0</v>
          </cell>
          <cell r="BE41" t="str">
            <v>NBFA</v>
          </cell>
          <cell r="BF41">
            <v>2</v>
          </cell>
          <cell r="BG41">
            <v>1.76</v>
          </cell>
          <cell r="BH41">
            <v>16.967380952380946</v>
          </cell>
          <cell r="BI41">
            <v>4458.9932571238987</v>
          </cell>
          <cell r="BJ41">
            <v>0</v>
          </cell>
          <cell r="BL41" t="str">
            <v>NBFA</v>
          </cell>
          <cell r="BM41">
            <v>2</v>
          </cell>
          <cell r="BN41">
            <v>1.76</v>
          </cell>
          <cell r="BO41">
            <v>16.967380952380946</v>
          </cell>
          <cell r="BP41">
            <v>4670.8737261857741</v>
          </cell>
          <cell r="BQ41">
            <v>0</v>
          </cell>
          <cell r="BS41" t="str">
            <v>NBFA</v>
          </cell>
          <cell r="BT41">
            <v>2</v>
          </cell>
          <cell r="BU41">
            <v>1.76</v>
          </cell>
          <cell r="BV41">
            <v>16.967380952380946</v>
          </cell>
          <cell r="BW41">
            <v>4328.7140992170043</v>
          </cell>
          <cell r="BX41">
            <v>0</v>
          </cell>
          <cell r="BZ41" t="str">
            <v>NBFA</v>
          </cell>
          <cell r="CA41">
            <v>2</v>
          </cell>
          <cell r="CB41">
            <v>1.76</v>
          </cell>
          <cell r="CC41">
            <v>16.967380952380946</v>
          </cell>
          <cell r="CD41">
            <v>4666.2984510025171</v>
          </cell>
          <cell r="CE41">
            <v>0</v>
          </cell>
        </row>
        <row r="42">
          <cell r="A42" t="str">
            <v>PTC</v>
          </cell>
          <cell r="B42">
            <v>2</v>
          </cell>
          <cell r="C42">
            <v>2.0499999999999998</v>
          </cell>
          <cell r="D42">
            <v>5</v>
          </cell>
          <cell r="E42">
            <v>3936.665521535781</v>
          </cell>
          <cell r="F42">
            <v>0</v>
          </cell>
          <cell r="H42" t="str">
            <v>PTC</v>
          </cell>
          <cell r="I42">
            <v>2</v>
          </cell>
          <cell r="J42">
            <v>2.0499999999999998</v>
          </cell>
          <cell r="K42">
            <v>5</v>
          </cell>
          <cell r="L42">
            <v>4013.7988003899836</v>
          </cell>
          <cell r="M42">
            <v>0</v>
          </cell>
          <cell r="O42" t="str">
            <v>PTC</v>
          </cell>
          <cell r="P42">
            <v>2</v>
          </cell>
          <cell r="Q42">
            <v>2.0499999999999998</v>
          </cell>
          <cell r="R42">
            <v>5</v>
          </cell>
          <cell r="S42">
            <v>3925.9129628353967</v>
          </cell>
          <cell r="T42">
            <v>0</v>
          </cell>
          <cell r="V42" t="str">
            <v>PTC</v>
          </cell>
          <cell r="W42">
            <v>2</v>
          </cell>
          <cell r="X42">
            <v>2.0499999999999998</v>
          </cell>
          <cell r="Y42">
            <v>5</v>
          </cell>
          <cell r="Z42">
            <v>3829.6015594455534</v>
          </cell>
          <cell r="AA42">
            <v>0</v>
          </cell>
          <cell r="AC42" t="str">
            <v>PTC</v>
          </cell>
          <cell r="AD42">
            <v>2</v>
          </cell>
          <cell r="AE42">
            <v>2.0499999999999998</v>
          </cell>
          <cell r="AF42">
            <v>5</v>
          </cell>
          <cell r="AG42">
            <v>4272.9269416348861</v>
          </cell>
          <cell r="AH42">
            <v>0</v>
          </cell>
          <cell r="AJ42" t="str">
            <v>PTC</v>
          </cell>
          <cell r="AK42">
            <v>2</v>
          </cell>
          <cell r="AL42">
            <v>2.0499999999999998</v>
          </cell>
          <cell r="AM42">
            <v>5</v>
          </cell>
          <cell r="AN42">
            <v>4354.667835540019</v>
          </cell>
          <cell r="AO42">
            <v>0</v>
          </cell>
          <cell r="AQ42" t="str">
            <v>PTC</v>
          </cell>
          <cell r="AR42">
            <v>2</v>
          </cell>
          <cell r="AS42">
            <v>2.0499999999999998</v>
          </cell>
          <cell r="AT42">
            <v>5</v>
          </cell>
          <cell r="AU42">
            <v>4565.6007801470987</v>
          </cell>
          <cell r="AV42">
            <v>0</v>
          </cell>
          <cell r="AX42" t="str">
            <v>PTC</v>
          </cell>
          <cell r="AY42">
            <v>2</v>
          </cell>
          <cell r="AZ42">
            <v>2.0499999999999998</v>
          </cell>
          <cell r="BA42">
            <v>5</v>
          </cell>
          <cell r="BB42">
            <v>4356.260035289838</v>
          </cell>
          <cell r="BC42">
            <v>0</v>
          </cell>
          <cell r="BE42" t="str">
            <v>PTC</v>
          </cell>
          <cell r="BF42">
            <v>2</v>
          </cell>
          <cell r="BG42">
            <v>2.0499999999999998</v>
          </cell>
          <cell r="BH42">
            <v>5</v>
          </cell>
          <cell r="BI42">
            <v>4463.9932571238987</v>
          </cell>
          <cell r="BJ42">
            <v>0</v>
          </cell>
          <cell r="BL42" t="str">
            <v>PTC</v>
          </cell>
          <cell r="BM42">
            <v>2</v>
          </cell>
          <cell r="BN42">
            <v>2.0499999999999998</v>
          </cell>
          <cell r="BO42">
            <v>5</v>
          </cell>
          <cell r="BP42">
            <v>4675.8737261857741</v>
          </cell>
          <cell r="BQ42">
            <v>0</v>
          </cell>
          <cell r="BS42" t="str">
            <v>PTC</v>
          </cell>
          <cell r="BT42">
            <v>2</v>
          </cell>
          <cell r="BU42">
            <v>2.0499999999999998</v>
          </cell>
          <cell r="BV42">
            <v>5</v>
          </cell>
          <cell r="BW42">
            <v>4333.7140992170043</v>
          </cell>
          <cell r="BX42">
            <v>0</v>
          </cell>
          <cell r="BZ42" t="str">
            <v>PTC</v>
          </cell>
          <cell r="CA42">
            <v>2</v>
          </cell>
          <cell r="CB42">
            <v>2.0499999999999998</v>
          </cell>
          <cell r="CC42">
            <v>5</v>
          </cell>
          <cell r="CD42">
            <v>4671.2984510025171</v>
          </cell>
          <cell r="CE42">
            <v>0</v>
          </cell>
        </row>
        <row r="43">
          <cell r="A43" t="str">
            <v>RCL</v>
          </cell>
          <cell r="B43">
            <v>2</v>
          </cell>
          <cell r="C43">
            <v>2.46</v>
          </cell>
          <cell r="D43">
            <v>2</v>
          </cell>
          <cell r="E43">
            <v>3938.665521535781</v>
          </cell>
          <cell r="F43">
            <v>0</v>
          </cell>
          <cell r="H43" t="str">
            <v>RCL</v>
          </cell>
          <cell r="I43">
            <v>2</v>
          </cell>
          <cell r="J43">
            <v>2.46</v>
          </cell>
          <cell r="K43">
            <v>2</v>
          </cell>
          <cell r="L43">
            <v>4015.7988003899836</v>
          </cell>
          <cell r="M43">
            <v>0</v>
          </cell>
          <cell r="O43" t="str">
            <v>RCL</v>
          </cell>
          <cell r="P43">
            <v>2</v>
          </cell>
          <cell r="Q43">
            <v>2.46</v>
          </cell>
          <cell r="R43">
            <v>2</v>
          </cell>
          <cell r="S43">
            <v>3927.9129628353967</v>
          </cell>
          <cell r="T43">
            <v>0</v>
          </cell>
          <cell r="V43" t="str">
            <v>RCL</v>
          </cell>
          <cell r="W43">
            <v>2</v>
          </cell>
          <cell r="X43">
            <v>2.46</v>
          </cell>
          <cell r="Y43">
            <v>2</v>
          </cell>
          <cell r="Z43">
            <v>3831.6015594455534</v>
          </cell>
          <cell r="AA43">
            <v>0</v>
          </cell>
          <cell r="AC43" t="str">
            <v>RCL</v>
          </cell>
          <cell r="AD43">
            <v>2</v>
          </cell>
          <cell r="AE43">
            <v>2.46</v>
          </cell>
          <cell r="AF43">
            <v>2</v>
          </cell>
          <cell r="AG43">
            <v>4274.9269416348861</v>
          </cell>
          <cell r="AH43">
            <v>0</v>
          </cell>
          <cell r="AJ43" t="str">
            <v>RCL</v>
          </cell>
          <cell r="AK43">
            <v>2</v>
          </cell>
          <cell r="AL43">
            <v>2.46</v>
          </cell>
          <cell r="AM43">
            <v>2</v>
          </cell>
          <cell r="AN43">
            <v>4356.667835540019</v>
          </cell>
          <cell r="AO43">
            <v>0</v>
          </cell>
          <cell r="AQ43" t="str">
            <v>RCL</v>
          </cell>
          <cell r="AR43">
            <v>2</v>
          </cell>
          <cell r="AS43">
            <v>2.46</v>
          </cell>
          <cell r="AT43">
            <v>2</v>
          </cell>
          <cell r="AU43">
            <v>4567.6007801470987</v>
          </cell>
          <cell r="AV43">
            <v>0</v>
          </cell>
          <cell r="AX43" t="str">
            <v>RCL</v>
          </cell>
          <cell r="AY43">
            <v>2</v>
          </cell>
          <cell r="AZ43">
            <v>2.46</v>
          </cell>
          <cell r="BA43">
            <v>2</v>
          </cell>
          <cell r="BB43">
            <v>4358.260035289838</v>
          </cell>
          <cell r="BC43">
            <v>0</v>
          </cell>
          <cell r="BE43" t="str">
            <v>RCL</v>
          </cell>
          <cell r="BF43">
            <v>2</v>
          </cell>
          <cell r="BG43">
            <v>2.46</v>
          </cell>
          <cell r="BH43">
            <v>2</v>
          </cell>
          <cell r="BI43">
            <v>4465.9932571238987</v>
          </cell>
          <cell r="BJ43">
            <v>0</v>
          </cell>
          <cell r="BL43" t="str">
            <v>RCL</v>
          </cell>
          <cell r="BM43">
            <v>2</v>
          </cell>
          <cell r="BN43">
            <v>2.46</v>
          </cell>
          <cell r="BO43">
            <v>2</v>
          </cell>
          <cell r="BP43">
            <v>4677.8737261857741</v>
          </cell>
          <cell r="BQ43">
            <v>0</v>
          </cell>
          <cell r="BS43" t="str">
            <v>RCL</v>
          </cell>
          <cell r="BT43">
            <v>2</v>
          </cell>
          <cell r="BU43">
            <v>2.46</v>
          </cell>
          <cell r="BV43">
            <v>2</v>
          </cell>
          <cell r="BW43">
            <v>4335.7140992170043</v>
          </cell>
          <cell r="BX43">
            <v>0</v>
          </cell>
          <cell r="BZ43" t="str">
            <v>RCL</v>
          </cell>
          <cell r="CA43">
            <v>2</v>
          </cell>
          <cell r="CB43">
            <v>2.46</v>
          </cell>
          <cell r="CC43">
            <v>2</v>
          </cell>
          <cell r="CD43">
            <v>4673.2984510025171</v>
          </cell>
          <cell r="CE43">
            <v>0</v>
          </cell>
        </row>
        <row r="44">
          <cell r="A44" t="str">
            <v>LVS</v>
          </cell>
          <cell r="B44">
            <v>2</v>
          </cell>
          <cell r="C44">
            <v>2.46</v>
          </cell>
          <cell r="D44">
            <v>20.239999999999998</v>
          </cell>
          <cell r="E44">
            <v>3958.9055215357807</v>
          </cell>
          <cell r="F44">
            <v>0</v>
          </cell>
          <cell r="H44" t="str">
            <v>LVS</v>
          </cell>
          <cell r="I44">
            <v>2</v>
          </cell>
          <cell r="J44">
            <v>2.46</v>
          </cell>
          <cell r="K44">
            <v>20.91</v>
          </cell>
          <cell r="L44">
            <v>4036.7088003899835</v>
          </cell>
          <cell r="M44">
            <v>0</v>
          </cell>
          <cell r="O44" t="str">
            <v>LVS</v>
          </cell>
          <cell r="P44">
            <v>2</v>
          </cell>
          <cell r="Q44">
            <v>2.46</v>
          </cell>
          <cell r="R44">
            <v>20.239999999999998</v>
          </cell>
          <cell r="S44">
            <v>3948.1529628353965</v>
          </cell>
          <cell r="T44">
            <v>0</v>
          </cell>
          <cell r="V44" t="str">
            <v>LVS</v>
          </cell>
          <cell r="W44">
            <v>2</v>
          </cell>
          <cell r="X44">
            <v>2.46</v>
          </cell>
          <cell r="Y44">
            <v>20.91</v>
          </cell>
          <cell r="Z44">
            <v>3852.5115594455533</v>
          </cell>
          <cell r="AA44">
            <v>0</v>
          </cell>
          <cell r="AC44" t="str">
            <v>LVS</v>
          </cell>
          <cell r="AD44">
            <v>2</v>
          </cell>
          <cell r="AE44">
            <v>2.46</v>
          </cell>
          <cell r="AF44">
            <v>20.91</v>
          </cell>
          <cell r="AG44">
            <v>4295.836941634886</v>
          </cell>
          <cell r="AH44">
            <v>0</v>
          </cell>
          <cell r="AJ44" t="str">
            <v>LVS</v>
          </cell>
          <cell r="AK44">
            <v>2</v>
          </cell>
          <cell r="AL44">
            <v>2.46</v>
          </cell>
          <cell r="AM44">
            <v>20.239999999999998</v>
          </cell>
          <cell r="AN44">
            <v>4376.9078355400188</v>
          </cell>
          <cell r="AO44">
            <v>0</v>
          </cell>
          <cell r="AQ44" t="str">
            <v>LVS</v>
          </cell>
          <cell r="AR44">
            <v>2</v>
          </cell>
          <cell r="AS44">
            <v>2.46</v>
          </cell>
          <cell r="AT44">
            <v>20.91</v>
          </cell>
          <cell r="AU44">
            <v>4588.5107801470986</v>
          </cell>
          <cell r="AV44">
            <v>0</v>
          </cell>
          <cell r="AX44" t="str">
            <v>LVS</v>
          </cell>
          <cell r="AY44">
            <v>2</v>
          </cell>
          <cell r="AZ44">
            <v>2.46</v>
          </cell>
          <cell r="BA44">
            <v>20.239999999999998</v>
          </cell>
          <cell r="BB44">
            <v>4378.5000352898378</v>
          </cell>
          <cell r="BC44">
            <v>0</v>
          </cell>
          <cell r="BE44" t="str">
            <v>LVS</v>
          </cell>
          <cell r="BF44">
            <v>2</v>
          </cell>
          <cell r="BG44">
            <v>2.46</v>
          </cell>
          <cell r="BH44">
            <v>20.91</v>
          </cell>
          <cell r="BI44">
            <v>4486.9032571238986</v>
          </cell>
          <cell r="BJ44">
            <v>0</v>
          </cell>
          <cell r="BL44" t="str">
            <v>LVS</v>
          </cell>
          <cell r="BM44">
            <v>2</v>
          </cell>
          <cell r="BN44">
            <v>2.46</v>
          </cell>
          <cell r="BO44">
            <v>20.91</v>
          </cell>
          <cell r="BP44">
            <v>4698.783726185774</v>
          </cell>
          <cell r="BQ44">
            <v>0</v>
          </cell>
          <cell r="BS44" t="str">
            <v>LVS</v>
          </cell>
          <cell r="BT44">
            <v>2</v>
          </cell>
          <cell r="BU44">
            <v>2.46</v>
          </cell>
          <cell r="BV44">
            <v>18.89</v>
          </cell>
          <cell r="BW44">
            <v>4354.6040992170047</v>
          </cell>
          <cell r="BX44">
            <v>0</v>
          </cell>
          <cell r="BZ44" t="str">
            <v>LVS</v>
          </cell>
          <cell r="CA44">
            <v>2</v>
          </cell>
          <cell r="CB44">
            <v>2.46</v>
          </cell>
          <cell r="CC44">
            <v>20.91</v>
          </cell>
          <cell r="CD44">
            <v>4694.208451002517</v>
          </cell>
          <cell r="CE44">
            <v>0</v>
          </cell>
        </row>
        <row r="45">
          <cell r="A45" t="str">
            <v>Extra 2</v>
          </cell>
          <cell r="B45">
            <v>2</v>
          </cell>
          <cell r="E45">
            <v>3958.9055215357807</v>
          </cell>
          <cell r="F45">
            <v>0</v>
          </cell>
          <cell r="H45" t="str">
            <v>Extra 2</v>
          </cell>
          <cell r="I45">
            <v>2</v>
          </cell>
          <cell r="L45">
            <v>4036.7088003899835</v>
          </cell>
          <cell r="M45">
            <v>0</v>
          </cell>
          <cell r="O45" t="str">
            <v>Extra 2</v>
          </cell>
          <cell r="P45">
            <v>2</v>
          </cell>
          <cell r="S45">
            <v>3948.1529628353965</v>
          </cell>
          <cell r="T45">
            <v>0</v>
          </cell>
          <cell r="V45" t="str">
            <v>Extra 2</v>
          </cell>
          <cell r="W45">
            <v>2</v>
          </cell>
          <cell r="Z45">
            <v>3852.5115594455533</v>
          </cell>
          <cell r="AA45">
            <v>0</v>
          </cell>
          <cell r="AC45" t="str">
            <v>Extra 2</v>
          </cell>
          <cell r="AD45">
            <v>2</v>
          </cell>
          <cell r="AG45">
            <v>4295.836941634886</v>
          </cell>
          <cell r="AH45">
            <v>0</v>
          </cell>
          <cell r="AJ45" t="str">
            <v>Extra 2</v>
          </cell>
          <cell r="AK45">
            <v>2</v>
          </cell>
          <cell r="AN45">
            <v>4376.9078355400188</v>
          </cell>
          <cell r="AO45">
            <v>0</v>
          </cell>
          <cell r="AQ45" t="str">
            <v>Extra 2</v>
          </cell>
          <cell r="AR45">
            <v>2</v>
          </cell>
          <cell r="AU45">
            <v>4588.5107801470986</v>
          </cell>
          <cell r="AV45">
            <v>0</v>
          </cell>
          <cell r="AX45" t="str">
            <v>Extra 2</v>
          </cell>
          <cell r="AY45">
            <v>2</v>
          </cell>
          <cell r="BB45">
            <v>4378.5000352898378</v>
          </cell>
          <cell r="BC45">
            <v>0</v>
          </cell>
          <cell r="BE45" t="str">
            <v>Extra 2</v>
          </cell>
          <cell r="BF45">
            <v>2</v>
          </cell>
          <cell r="BI45">
            <v>4486.9032571238986</v>
          </cell>
          <cell r="BJ45">
            <v>0</v>
          </cell>
          <cell r="BL45" t="str">
            <v>Extra 2</v>
          </cell>
          <cell r="BM45">
            <v>2</v>
          </cell>
          <cell r="BP45">
            <v>4698.783726185774</v>
          </cell>
          <cell r="BQ45">
            <v>0</v>
          </cell>
          <cell r="BS45" t="str">
            <v>Extra 2</v>
          </cell>
          <cell r="BT45">
            <v>2</v>
          </cell>
          <cell r="BW45">
            <v>4354.6040992170047</v>
          </cell>
          <cell r="BX45">
            <v>0</v>
          </cell>
          <cell r="BZ45" t="str">
            <v>Extra 2</v>
          </cell>
          <cell r="CA45">
            <v>2</v>
          </cell>
          <cell r="CD45">
            <v>4694.208451002517</v>
          </cell>
          <cell r="CE45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Wheeling Charges"/>
      <sheetName val="InputSheet"/>
      <sheetName val="Dist ARR"/>
      <sheetName val="Int on Working cap"/>
      <sheetName val="Interest cost"/>
      <sheetName val="GFA &amp; Dep-MYT 5th Control"/>
      <sheetName val="Voltage wise FA from SAP"/>
      <sheetName val="Capex Summary 5th MYT"/>
      <sheetName val="Capex Summary inputs"/>
      <sheetName val="Investment for 5th MYT"/>
      <sheetName val="True Up &amp; True Down"/>
      <sheetName val="Employee Cost"/>
      <sheetName val="RoE"/>
      <sheetName val="NTI proj"/>
      <sheetName val="Loan Portfolio"/>
      <sheetName val="Open Access"/>
      <sheetName val="Internal Discussion Notes"/>
      <sheetName val="Claim vs Approved Depreciation"/>
      <sheetName val="SP NTI"/>
      <sheetName val="New Loans 5th MYT"/>
      <sheetName val="NTI"/>
      <sheetName val="Load for Wheeling "/>
      <sheetName val="Working for O&amp;M"/>
      <sheetName val="For Wheeling"/>
      <sheetName val="Sheet3 (2)"/>
      <sheetName val="Status"/>
      <sheetName val="Existing loans Repayment &amp;Int"/>
      <sheetName val="Proposed Assets as per Invest"/>
      <sheetName val="Working for 1.1d"/>
      <sheetName val="Form 1.2"/>
      <sheetName val="Form 1.1"/>
      <sheetName val="Form 1.1j"/>
      <sheetName val="Form 1.1k"/>
      <sheetName val="Form 1.1d"/>
      <sheetName val="Form 1.1 g(i)"/>
      <sheetName val="Form 1.1a"/>
      <sheetName val="Form 1.1b"/>
      <sheetName val="Existing Loans Details"/>
      <sheetName val="Form 1.1g"/>
      <sheetName val="Form 1.1 c"/>
      <sheetName val="Form 1.1e"/>
      <sheetName val="Form 1.1n"/>
      <sheetName val="Form 1.0"/>
      <sheetName val="Form 1a"/>
      <sheetName val="Form 1c"/>
      <sheetName val="Form 1b"/>
      <sheetName val="Form 1.1h"/>
      <sheetName val="Form 1.3"/>
      <sheetName val="Form 1.3a"/>
      <sheetName val="Form 1.3(i)"/>
      <sheetName val="Form 1.3 i"/>
      <sheetName val="Form 3.3"/>
      <sheetName val="Form 7.0"/>
      <sheetName val="Form 8"/>
      <sheetName val="Form 9"/>
      <sheetName val="Form 10"/>
      <sheetName val="Sheet1"/>
      <sheetName val="Sheet2"/>
      <sheetName val="Sheet3"/>
    </sheetNames>
    <sheetDataSet>
      <sheetData sheetId="0"/>
      <sheetData sheetId="1"/>
      <sheetData sheetId="2"/>
      <sheetData sheetId="3">
        <row r="106">
          <cell r="F106">
            <v>4333.027819197926</v>
          </cell>
        </row>
      </sheetData>
      <sheetData sheetId="4">
        <row r="65">
          <cell r="E65">
            <v>335.45249999999999</v>
          </cell>
        </row>
      </sheetData>
      <sheetData sheetId="5">
        <row r="6">
          <cell r="G6">
            <v>5976.0189213527192</v>
          </cell>
        </row>
      </sheetData>
      <sheetData sheetId="6">
        <row r="4">
          <cell r="G4">
            <v>6240.2072871753326</v>
          </cell>
        </row>
      </sheetData>
      <sheetData sheetId="7"/>
      <sheetData sheetId="8"/>
      <sheetData sheetId="9"/>
      <sheetData sheetId="10">
        <row r="160">
          <cell r="B160">
            <v>1128.78</v>
          </cell>
        </row>
      </sheetData>
      <sheetData sheetId="11"/>
      <sheetData sheetId="12"/>
      <sheetData sheetId="13">
        <row r="5">
          <cell r="G5">
            <v>5976.0189213527192</v>
          </cell>
        </row>
        <row r="39">
          <cell r="G39">
            <v>7508.181524530004</v>
          </cell>
        </row>
        <row r="40">
          <cell r="G40">
            <v>565.87736214019083</v>
          </cell>
        </row>
        <row r="41">
          <cell r="G41">
            <v>85.992861249122413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Wheeling Charges"/>
      <sheetName val="InputSheet"/>
      <sheetName val="Dist ARR"/>
      <sheetName val="Int on Working cap"/>
      <sheetName val="Interest cost"/>
      <sheetName val="GFA &amp; Dep-MYT 5th Control"/>
      <sheetName val="Voltage wise FA from SAP"/>
      <sheetName val="Capex Summary 5th MYT"/>
      <sheetName val="Capex Summary inputs"/>
      <sheetName val="Investment for 5th MYT"/>
      <sheetName val="True Up &amp; True Down"/>
      <sheetName val="Employee Cost"/>
      <sheetName val="RoE"/>
      <sheetName val="NTI proj"/>
      <sheetName val="Loan Portfolio"/>
      <sheetName val="Open Access"/>
      <sheetName val="Internal Discussion Notes"/>
      <sheetName val="Claim vs Approved Depreciation"/>
      <sheetName val="SP NTI"/>
      <sheetName val="New Loans 5th MYT"/>
      <sheetName val="NTI"/>
      <sheetName val="Load for Wheeling "/>
      <sheetName val="Working for O&amp;M"/>
      <sheetName val="For Wheeling"/>
      <sheetName val="Sheet3 (2)"/>
      <sheetName val="Status"/>
      <sheetName val="Existing loans Repayment &amp;Int"/>
      <sheetName val="Proposed Assets as per Invest"/>
      <sheetName val="Working for 1.1d"/>
      <sheetName val="Form 1.2"/>
      <sheetName val="Form 1.1"/>
      <sheetName val="Form 1.1j"/>
      <sheetName val="Form 1.1k"/>
      <sheetName val="Form 1.1d"/>
      <sheetName val="Form 1.1 g(i)"/>
      <sheetName val="Form 1.1a"/>
      <sheetName val="Form 1.1b"/>
      <sheetName val="Existing Loans Details"/>
      <sheetName val="Form 1.1g"/>
      <sheetName val="Form 1.1 c"/>
      <sheetName val="Form 1.1e"/>
      <sheetName val="Form 1.1n"/>
      <sheetName val="Form 1.0"/>
      <sheetName val="Form 1a"/>
      <sheetName val="Form 1c"/>
      <sheetName val="Form 1b"/>
      <sheetName val="Form 1.1h"/>
      <sheetName val="Form 1.3"/>
      <sheetName val="Form 1.3a"/>
      <sheetName val="Form 1.3(i)"/>
      <sheetName val="Form 1.3 i"/>
      <sheetName val="Form 3.3"/>
      <sheetName val="Form 7.0"/>
      <sheetName val="Form 8"/>
      <sheetName val="Form 9"/>
      <sheetName val="Form 10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9">
          <cell r="G39">
            <v>6034.1820000000007</v>
          </cell>
        </row>
        <row r="42">
          <cell r="G42">
            <v>4978.9705826039199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T Industrial"/>
      <sheetName val="HT Industrial"/>
      <sheetName val="HT Commercial"/>
      <sheetName val="HT Industrial - 1MW Demand"/>
      <sheetName val="Tarrif Balancing HT-1"/>
      <sheetName val="HT Industrial - Tables"/>
      <sheetName val="HT Commercial - 1MW Demand"/>
      <sheetName val="HT Commercial - Tables"/>
      <sheetName val="ACoS"/>
      <sheetName val="Guj-ABR- Category Wise"/>
      <sheetName val="TN-ABR- Category Wise"/>
      <sheetName val="LT Domestic Comparision"/>
      <sheetName val="MH - ABR - Category Wise"/>
      <sheetName val="KA - ABR - Category Wise"/>
      <sheetName val="AP - ABR - Category Wise"/>
      <sheetName val="TG - ABR - Category Wise"/>
      <sheetName val="LT Industrial - Demand"/>
      <sheetName val="LT Tables"/>
      <sheetName val="LT Domestic - Demand"/>
      <sheetName val="LT Domestic"/>
      <sheetName val="LT Commercial - Demand"/>
      <sheetName val="LT Commercial"/>
      <sheetName val="T.O FY 2014-26"/>
      <sheetName val="CPI"/>
      <sheetName val="WPI_MONTHLY_INDEX"/>
      <sheetName val="CPI-WPI"/>
      <sheetName val="FC Analysis"/>
      <sheetName val="Duty Rates Across States"/>
      <sheetName val="TG - ED Calculation"/>
      <sheetName val="ED vs Subsid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2">
          <cell r="P2">
            <v>108.6</v>
          </cell>
          <cell r="Q2">
            <v>108.6</v>
          </cell>
          <cell r="R2">
            <v>110.1</v>
          </cell>
          <cell r="S2">
            <v>111.2</v>
          </cell>
          <cell r="T2">
            <v>112.9</v>
          </cell>
          <cell r="U2">
            <v>114.3</v>
          </cell>
          <cell r="V2">
            <v>114.6</v>
          </cell>
          <cell r="W2">
            <v>114.3</v>
          </cell>
          <cell r="X2">
            <v>113.4</v>
          </cell>
          <cell r="Y2">
            <v>113.6</v>
          </cell>
          <cell r="Z2">
            <v>113.6</v>
          </cell>
          <cell r="AA2">
            <v>114.3</v>
          </cell>
          <cell r="AB2">
            <v>114.1</v>
          </cell>
          <cell r="AC2">
            <v>114.8</v>
          </cell>
          <cell r="AD2">
            <v>115.2</v>
          </cell>
          <cell r="AE2">
            <v>116.7</v>
          </cell>
          <cell r="AF2">
            <v>117.2</v>
          </cell>
          <cell r="AG2">
            <v>116.4</v>
          </cell>
          <cell r="AH2">
            <v>115.6</v>
          </cell>
          <cell r="AI2">
            <v>114.1</v>
          </cell>
          <cell r="AJ2">
            <v>112.1</v>
          </cell>
          <cell r="AK2">
            <v>110.8</v>
          </cell>
          <cell r="AL2">
            <v>109.6</v>
          </cell>
          <cell r="AM2">
            <v>109.9</v>
          </cell>
          <cell r="AN2">
            <v>110.2</v>
          </cell>
          <cell r="AO2">
            <v>111.4</v>
          </cell>
          <cell r="AP2">
            <v>111.8</v>
          </cell>
          <cell r="AQ2">
            <v>111.1</v>
          </cell>
          <cell r="AR2">
            <v>110</v>
          </cell>
          <cell r="AS2">
            <v>109.9</v>
          </cell>
          <cell r="AT2">
            <v>110.1</v>
          </cell>
          <cell r="AU2">
            <v>109.9</v>
          </cell>
          <cell r="AV2">
            <v>109.4</v>
          </cell>
          <cell r="AW2">
            <v>108</v>
          </cell>
          <cell r="AX2">
            <v>107.1</v>
          </cell>
          <cell r="AY2">
            <v>107.7</v>
          </cell>
          <cell r="AZ2">
            <v>109</v>
          </cell>
          <cell r="BA2">
            <v>110.4</v>
          </cell>
          <cell r="BB2">
            <v>111.7</v>
          </cell>
          <cell r="BC2">
            <v>111.8</v>
          </cell>
          <cell r="BD2">
            <v>111.2</v>
          </cell>
          <cell r="BE2">
            <v>111.4</v>
          </cell>
          <cell r="BF2">
            <v>111.5</v>
          </cell>
          <cell r="BG2">
            <v>111.9</v>
          </cell>
          <cell r="BH2">
            <v>111.7</v>
          </cell>
          <cell r="BI2">
            <v>112.6</v>
          </cell>
          <cell r="BJ2">
            <v>113</v>
          </cell>
          <cell r="BK2">
            <v>113.2</v>
          </cell>
          <cell r="BL2">
            <v>113.2</v>
          </cell>
          <cell r="BM2">
            <v>112.9</v>
          </cell>
          <cell r="BN2">
            <v>112.7</v>
          </cell>
          <cell r="BO2">
            <v>113.9</v>
          </cell>
          <cell r="BP2">
            <v>114.8</v>
          </cell>
          <cell r="BQ2">
            <v>114.9</v>
          </cell>
          <cell r="BR2">
            <v>115.6</v>
          </cell>
          <cell r="BS2">
            <v>116.4</v>
          </cell>
          <cell r="BT2">
            <v>115.7</v>
          </cell>
          <cell r="BU2">
            <v>116</v>
          </cell>
          <cell r="BV2">
            <v>116.1</v>
          </cell>
          <cell r="BW2">
            <v>116.3</v>
          </cell>
          <cell r="BX2">
            <v>117.3</v>
          </cell>
          <cell r="BY2">
            <v>118.3</v>
          </cell>
          <cell r="BZ2">
            <v>119.1</v>
          </cell>
          <cell r="CA2">
            <v>119.9</v>
          </cell>
          <cell r="CB2">
            <v>120.1</v>
          </cell>
          <cell r="CC2">
            <v>120.9</v>
          </cell>
          <cell r="CD2">
            <v>122</v>
          </cell>
          <cell r="CE2">
            <v>121.6</v>
          </cell>
          <cell r="CF2">
            <v>119.7</v>
          </cell>
          <cell r="CG2">
            <v>119.2</v>
          </cell>
          <cell r="CH2">
            <v>119.5</v>
          </cell>
          <cell r="CI2">
            <v>119.9</v>
          </cell>
          <cell r="CJ2">
            <v>121.1</v>
          </cell>
          <cell r="CK2">
            <v>121.6</v>
          </cell>
          <cell r="CL2">
            <v>121.5</v>
          </cell>
          <cell r="CM2">
            <v>121.3</v>
          </cell>
          <cell r="CN2">
            <v>121.5</v>
          </cell>
          <cell r="CO2">
            <v>121.3</v>
          </cell>
          <cell r="CP2">
            <v>122</v>
          </cell>
          <cell r="CQ2">
            <v>122.3</v>
          </cell>
          <cell r="CR2">
            <v>123</v>
          </cell>
          <cell r="CS2">
            <v>123.4</v>
          </cell>
          <cell r="CT2">
            <v>122.2</v>
          </cell>
          <cell r="CU2">
            <v>120.4</v>
          </cell>
          <cell r="CV2">
            <v>119.2</v>
          </cell>
          <cell r="CW2">
            <v>117.5</v>
          </cell>
          <cell r="CX2">
            <v>119.3</v>
          </cell>
          <cell r="CY2">
            <v>121</v>
          </cell>
          <cell r="CZ2">
            <v>122</v>
          </cell>
          <cell r="DA2">
            <v>122.9</v>
          </cell>
          <cell r="DB2">
            <v>123.6</v>
          </cell>
          <cell r="DC2">
            <v>125.1</v>
          </cell>
          <cell r="DD2">
            <v>125.4</v>
          </cell>
          <cell r="DE2">
            <v>126.5</v>
          </cell>
          <cell r="DF2">
            <v>128.1</v>
          </cell>
          <cell r="DG2">
            <v>129.9</v>
          </cell>
          <cell r="DH2">
            <v>132</v>
          </cell>
          <cell r="DI2">
            <v>132.9</v>
          </cell>
          <cell r="DJ2">
            <v>133.69999999999999</v>
          </cell>
          <cell r="DK2">
            <v>135</v>
          </cell>
          <cell r="DL2">
            <v>136.19999999999999</v>
          </cell>
          <cell r="DM2">
            <v>137.4</v>
          </cell>
          <cell r="DN2">
            <v>140.69999999999999</v>
          </cell>
          <cell r="DO2">
            <v>143.69999999999999</v>
          </cell>
          <cell r="DP2">
            <v>143.30000000000001</v>
          </cell>
          <cell r="DQ2">
            <v>143.80000000000001</v>
          </cell>
          <cell r="DR2">
            <v>145.30000000000001</v>
          </cell>
          <cell r="DS2">
            <v>148.9</v>
          </cell>
          <cell r="DT2">
            <v>152.30000000000001</v>
          </cell>
          <cell r="DU2">
            <v>155</v>
          </cell>
          <cell r="DV2">
            <v>155.4</v>
          </cell>
          <cell r="DW2">
            <v>154</v>
          </cell>
          <cell r="DX2">
            <v>153.19999999999999</v>
          </cell>
          <cell r="DY2">
            <v>151.9</v>
          </cell>
          <cell r="DZ2">
            <v>152.9</v>
          </cell>
          <cell r="EA2">
            <v>152.5</v>
          </cell>
          <cell r="EB2">
            <v>150.5</v>
          </cell>
          <cell r="EC2">
            <v>150.69999999999999</v>
          </cell>
          <cell r="ED2">
            <v>150.9</v>
          </cell>
          <cell r="EE2">
            <v>151</v>
          </cell>
          <cell r="EF2">
            <v>151.1</v>
          </cell>
          <cell r="EG2">
            <v>149.4</v>
          </cell>
          <cell r="EH2">
            <v>148.9</v>
          </cell>
          <cell r="EI2">
            <v>152.1</v>
          </cell>
          <cell r="EJ2">
            <v>152.5</v>
          </cell>
          <cell r="EK2">
            <v>151.80000000000001</v>
          </cell>
          <cell r="EL2">
            <v>152.5</v>
          </cell>
          <cell r="EM2">
            <v>153.1</v>
          </cell>
          <cell r="EN2">
            <v>151.80000000000001</v>
          </cell>
          <cell r="EO2">
            <v>151.19999999999999</v>
          </cell>
          <cell r="EP2">
            <v>151.19999999999999</v>
          </cell>
          <cell r="EQ2">
            <v>151.4</v>
          </cell>
          <cell r="ER2">
            <v>152.9</v>
          </cell>
          <cell r="ES2">
            <v>153.5</v>
          </cell>
          <cell r="ET2">
            <v>154</v>
          </cell>
          <cell r="EU2">
            <v>155.30000000000001</v>
          </cell>
          <cell r="EV2">
            <v>154.4</v>
          </cell>
          <cell r="EW2">
            <v>154.69999999999999</v>
          </cell>
          <cell r="EX2">
            <v>156.69999999999999</v>
          </cell>
          <cell r="EY2">
            <v>156.4</v>
          </cell>
          <cell r="EZ2">
            <v>155.69999999999999</v>
          </cell>
          <cell r="FA2">
            <v>155</v>
          </cell>
          <cell r="FB2">
            <v>154.9</v>
          </cell>
          <cell r="FC2">
            <v>154.80000000000001</v>
          </cell>
        </row>
      </sheetData>
      <sheetData sheetId="25"/>
      <sheetData sheetId="26"/>
      <sheetData sheetId="27"/>
      <sheetData sheetId="28"/>
      <sheetData sheetId="29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 FM OA"/>
      <sheetName val="Fixed Assets"/>
      <sheetName val="Fully Depreciated Assets"/>
      <sheetName val="CC Assets"/>
      <sheetName val="CONSOLE SUMMARY"/>
      <sheetName val="fully dep CC assets"/>
      <sheetName val="Capex"/>
      <sheetName val="Summary - FY 24-25"/>
      <sheetName val="FY 2024-25"/>
      <sheetName val="Abstract"/>
      <sheetName val="FY 2024-25 (2)"/>
      <sheetName val="Main Notes"/>
      <sheetName val="Note 11 Fixed Assests "/>
      <sheetName val="DEV AND LINES"/>
    </sheetNames>
    <sheetDataSet>
      <sheetData sheetId="0"/>
      <sheetData sheetId="1"/>
      <sheetData sheetId="2">
        <row r="36">
          <cell r="F36">
            <v>540.61047804099996</v>
          </cell>
          <cell r="G36">
            <v>595.29397093699993</v>
          </cell>
        </row>
      </sheetData>
      <sheetData sheetId="3">
        <row r="17">
          <cell r="G17">
            <v>7599.8422141730025</v>
          </cell>
        </row>
        <row r="18">
          <cell r="G18">
            <v>8614.4570634920019</v>
          </cell>
        </row>
      </sheetData>
      <sheetData sheetId="4">
        <row r="31">
          <cell r="E31">
            <v>3693.4126026258423</v>
          </cell>
        </row>
        <row r="32">
          <cell r="E32">
            <v>4121.9448333691071</v>
          </cell>
        </row>
      </sheetData>
      <sheetData sheetId="5">
        <row r="24">
          <cell r="F24">
            <v>10.578192546499952</v>
          </cell>
          <cell r="G24">
            <v>20.769406539299958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Wheeling Charges"/>
      <sheetName val="InputSheet"/>
      <sheetName val="Dist ARR"/>
      <sheetName val="Int on Working cap"/>
      <sheetName val="GFA &amp; Dep-MYT 5th Control"/>
      <sheetName val="Capex Summary 5th MYT"/>
      <sheetName val="Capex Summary inputs"/>
      <sheetName val="Investment for 5th MYT"/>
      <sheetName val="True Up &amp; True Down"/>
      <sheetName val="Employee Cost"/>
      <sheetName val="Interest cost"/>
      <sheetName val="Voltage wise FA from SAP"/>
      <sheetName val="RoE"/>
      <sheetName val="NTI proj"/>
      <sheetName val="Loan Portfolio"/>
      <sheetName val="Open Access"/>
      <sheetName val="Internal Discussion Notes"/>
      <sheetName val="Claim vs Approved Depreciation"/>
      <sheetName val="Base Capex"/>
      <sheetName val="SP NTI"/>
      <sheetName val="New Loans 5th MYT"/>
      <sheetName val="NTI"/>
      <sheetName val="Load for Wheeling "/>
      <sheetName val="Working for O&amp;M"/>
      <sheetName val="For Wheeling"/>
      <sheetName val="Sheet3 (2)"/>
      <sheetName val="Status"/>
      <sheetName val="Existing loans Repayment &amp;Int"/>
      <sheetName val="Proposed Assets as per Invest"/>
      <sheetName val="Working for 1.1d"/>
      <sheetName val="Form 1.2"/>
      <sheetName val="Form 1.1"/>
      <sheetName val="Form 1.1j"/>
      <sheetName val="Form 1.1k"/>
      <sheetName val="Form 1.1d"/>
      <sheetName val="Form 1.1 g(i)"/>
      <sheetName val="Form 1.1a"/>
      <sheetName val="Form 1.1b"/>
      <sheetName val="Existing Loans Details"/>
      <sheetName val="Form 1.1g"/>
      <sheetName val="Form 1.1 c"/>
      <sheetName val="Form 1.1e"/>
      <sheetName val="Form 1.1n"/>
      <sheetName val="Form 1.0"/>
      <sheetName val="Form 1a"/>
      <sheetName val="Form 1c"/>
      <sheetName val="Form 1b"/>
      <sheetName val="Form 1.1h"/>
      <sheetName val="Form 1.3"/>
      <sheetName val="Form 1.3a"/>
      <sheetName val="Form 1.3(i)"/>
      <sheetName val="Form 1.3 i"/>
      <sheetName val="Form 3.3"/>
      <sheetName val="Form 7.0"/>
      <sheetName val="Form 8"/>
      <sheetName val="Form 9"/>
      <sheetName val="Form 10"/>
      <sheetName val="Sheet1"/>
      <sheetName val="Sheet2"/>
      <sheetName val="Sheet3"/>
    </sheetNames>
    <sheetDataSet>
      <sheetData sheetId="0"/>
      <sheetData sheetId="1"/>
      <sheetData sheetId="2"/>
      <sheetData sheetId="3">
        <row r="14">
          <cell r="I14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XXXX"/>
      <sheetName val="cover1"/>
      <sheetName val="RevenueInput"/>
      <sheetName val="RevenueBreakupInput"/>
      <sheetName val="BudgetInput1"/>
      <sheetName val="BudgetInput2"/>
      <sheetName val="LoadSurveyInput"/>
      <sheetName val="DebtorsInput"/>
      <sheetName val="DisconnectionsInput"/>
      <sheetName val="TransformerInput"/>
      <sheetName val="TransformerMaintInput"/>
      <sheetName val="Index"/>
      <sheetName val="Profit"/>
      <sheetName val="Trend"/>
      <sheetName val="REV1"/>
      <sheetName val="REV1A"/>
      <sheetName val="REV2"/>
      <sheetName val="REV3"/>
      <sheetName val="REV3A"/>
      <sheetName val="REV4"/>
      <sheetName val="REV5"/>
      <sheetName val="REV6"/>
      <sheetName val="COLL1"/>
      <sheetName val="COLL2"/>
      <sheetName val="METER1"/>
      <sheetName val="LOAD1"/>
      <sheetName val="TRANSFORMER1"/>
      <sheetName val="TRANSFORMERMAINT1"/>
      <sheetName val="A2-02-03"/>
      <sheetName val="1.1 Trs. Fai."/>
      <sheetName val="cap all"/>
      <sheetName val="Sheet1"/>
      <sheetName val="04REL"/>
      <sheetName val="Addl.40"/>
      <sheetName val="STN WISE EMR"/>
      <sheetName val="2004"/>
      <sheetName val="Form-C4"/>
      <sheetName val="Challan"/>
      <sheetName val="% of Elect"/>
      <sheetName val="Salient1"/>
      <sheetName val="Data"/>
      <sheetName val="Survey Status_2"/>
      <sheetName val="Dom"/>
      <sheetName val="DATA_PRG"/>
      <sheetName val="all"/>
      <sheetName val="MNCL"/>
      <sheetName val="t_prsr"/>
      <sheetName val="General"/>
      <sheetName val="ATP"/>
      <sheetName val="NPDCL-LOADS-13"/>
      <sheetName val="Lead statement"/>
      <sheetName val="Labour charges"/>
      <sheetName val="Detailed"/>
      <sheetName val="C.S.GENERATION"/>
      <sheetName val="New GLs"/>
      <sheetName val="1_1_Trs__Fai_"/>
      <sheetName val="cap_all"/>
      <sheetName val="Addl_40"/>
      <sheetName val="STN_WISE_EMR"/>
      <sheetName val="%_of_Elect"/>
      <sheetName val="Survey_Status_2"/>
      <sheetName val="BWSCPlt"/>
      <sheetName val="CI"/>
      <sheetName val="DI"/>
      <sheetName val="G.R.P"/>
      <sheetName val="HDPE"/>
      <sheetName val="PSC REVISED"/>
      <sheetName val="pvc"/>
      <sheetName val="R_Abstract"/>
      <sheetName val="ONLINE DUMP"/>
      <sheetName val="WATER-HAMMER"/>
      <sheetName val="1"/>
      <sheetName val="Newabstract"/>
      <sheetName val="A 3.7"/>
      <sheetName val="BREAKUP OF OIL"/>
      <sheetName val="SUMMERY"/>
      <sheetName val="Discom Details"/>
      <sheetName val="Inputs"/>
      <sheetName val="Work_sheet"/>
      <sheetName val="Executive Summary -Thermal"/>
      <sheetName val="Stationwise Thermal &amp; Hydel Gen"/>
      <sheetName val="TWELVE"/>
      <sheetName val="3-BGP"/>
      <sheetName val="Demand"/>
      <sheetName val="MANDAL"/>
      <sheetName val="Mortars"/>
      <sheetName val="indapsp"/>
      <sheetName val="indapep"/>
      <sheetName val="indapnp"/>
      <sheetName val="Detailed Estimate"/>
      <sheetName val="Sheet3"/>
      <sheetName val="Sheet2"/>
      <sheetName val="feasibility require"/>
      <sheetName val="BANK STATEMENT (2)"/>
      <sheetName val="Detail Estt."/>
      <sheetName val="Criteria"/>
      <sheetName val="PHSB"/>
      <sheetName val="agl-pump-sets"/>
      <sheetName val="EG"/>
      <sheetName val="per-capita"/>
      <sheetName val="towns&amp;villages"/>
      <sheetName val="C3-02-03"/>
      <sheetName val="SS-III &amp; SS-V"/>
      <sheetName val="First information "/>
      <sheetName val="Sept "/>
      <sheetName val="7.11 p1"/>
      <sheetName val="Manchal"/>
      <sheetName val="dpc cost"/>
      <sheetName val="Coalmine"/>
      <sheetName val="Sector(Energy&amp;Capacity)"/>
      <sheetName val="Overall"/>
      <sheetName val="MO EY"/>
      <sheetName val="MO CY"/>
      <sheetName val="Feb-06"/>
      <sheetName val="CAP"/>
      <sheetName val="RAJ"/>
      <sheetName val="A"/>
      <sheetName val="r"/>
      <sheetName val="A 3_7"/>
      <sheetName val="v"/>
      <sheetName val="rdamdata"/>
      <sheetName val="lead-st"/>
      <sheetName val="Lead "/>
      <sheetName val="INTER-REGIONAL ENERGY EXHANGE"/>
      <sheetName val="DRAWAL"/>
      <sheetName val="Config"/>
      <sheetName val="Sec-1a"/>
    </sheetNames>
    <sheetDataSet>
      <sheetData sheetId="0" refreshError="1"/>
      <sheetData sheetId="1" refreshError="1"/>
      <sheetData sheetId="2" refreshError="1">
        <row r="30">
          <cell r="A30" t="str">
            <v>Business Unit</v>
          </cell>
        </row>
        <row r="31">
          <cell r="A31" t="str">
            <v>Manager</v>
          </cell>
        </row>
        <row r="34">
          <cell r="A34" t="str">
            <v>Central Power Distribution Company of AP Limited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"/>
      <sheetName val="Challan"/>
      <sheetName val="Annexure-I"/>
      <sheetName val="Param"/>
      <sheetName val="outPut"/>
    </sheetNames>
    <sheetDataSet>
      <sheetData sheetId="0"/>
      <sheetData sheetId="1"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  <row r="10">
          <cell r="A10">
            <v>4</v>
          </cell>
        </row>
        <row r="847">
          <cell r="IV847">
            <v>193</v>
          </cell>
        </row>
        <row r="848">
          <cell r="IV848">
            <v>194</v>
          </cell>
        </row>
        <row r="849">
          <cell r="IV849" t="str">
            <v>194A</v>
          </cell>
        </row>
        <row r="850">
          <cell r="IV850" t="str">
            <v>194B</v>
          </cell>
        </row>
        <row r="851">
          <cell r="IV851" t="str">
            <v>194BB</v>
          </cell>
        </row>
        <row r="852">
          <cell r="IV852" t="str">
            <v>194C</v>
          </cell>
        </row>
        <row r="853">
          <cell r="IV853" t="str">
            <v>194D</v>
          </cell>
        </row>
        <row r="854">
          <cell r="IV854" t="str">
            <v>194EE</v>
          </cell>
        </row>
        <row r="855">
          <cell r="IV855" t="str">
            <v>194F</v>
          </cell>
        </row>
        <row r="856">
          <cell r="IV856" t="str">
            <v>194G</v>
          </cell>
        </row>
        <row r="857">
          <cell r="IV857" t="str">
            <v>194H</v>
          </cell>
        </row>
        <row r="858">
          <cell r="IV858" t="str">
            <v>194I</v>
          </cell>
        </row>
        <row r="859">
          <cell r="IV859" t="str">
            <v>194J</v>
          </cell>
        </row>
        <row r="860">
          <cell r="IV860" t="str">
            <v>194LA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Tariff"/>
      <sheetName val="PRSN"/>
      <sheetName val="Impact"/>
      <sheetName val="ARR"/>
      <sheetName val="Billing-PY"/>
      <sheetName val="Billing-C&amp;E Y"/>
      <sheetName val="Customers-All"/>
      <sheetName val="Customers-CP"/>
      <sheetName val="Customers-EP"/>
      <sheetName val="Customers-NP"/>
      <sheetName val="Customers-SP"/>
      <sheetName val="REV"/>
      <sheetName val="ERC-CY"/>
      <sheetName val="ERC-EY"/>
      <sheetName val="ERP-EY"/>
      <sheetName val="Forecast-CY"/>
      <sheetName val="Sheet1"/>
      <sheetName val="Forecast-EY"/>
      <sheetName val="MC-CP"/>
      <sheetName val="MC-EP"/>
      <sheetName val="MC-NP"/>
      <sheetName val="MC-SP"/>
      <sheetName val="RevenueIncrease"/>
      <sheetName val="CostRecovery"/>
      <sheetName val="Subsidy"/>
      <sheetName val="Assumptions"/>
      <sheetName val="General"/>
      <sheetName val="RESCOs"/>
      <sheetName val="Table-I"/>
      <sheetName val="Tables-II"/>
      <sheetName val="Challan"/>
      <sheetName val="all"/>
      <sheetName val="C.S.GENERATION"/>
      <sheetName val="Work_sheet"/>
      <sheetName val="cover1"/>
      <sheetName val="RevenueInput"/>
      <sheetName val="Energy_bal"/>
      <sheetName val="% of Elect"/>
      <sheetName val="DATA_PRG"/>
      <sheetName val="Form-C4"/>
      <sheetName val="t_prsr"/>
      <sheetName val="2004"/>
      <sheetName val="cap all"/>
      <sheetName val="Spec Rev and Cons 18-19"/>
      <sheetName val="Discom Details"/>
      <sheetName val="Part A General"/>
      <sheetName val="Dom"/>
      <sheetName val="A2-02-03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>
        <row r="3">
          <cell r="A3">
            <v>100</v>
          </cell>
        </row>
        <row r="4">
          <cell r="A4">
            <v>1000</v>
          </cell>
        </row>
        <row r="6">
          <cell r="A6">
            <v>1000000</v>
          </cell>
        </row>
        <row r="7">
          <cell r="A7">
            <v>10000000</v>
          </cell>
        </row>
      </sheetData>
      <sheetData sheetId="28">
        <row r="3">
          <cell r="A3">
            <v>100</v>
          </cell>
        </row>
      </sheetData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1"/>
    </sheetNames>
    <sheetDataSet>
      <sheetData sheetId="0" refreshError="1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05_Sales_vari"/>
      <sheetName val="0506_Sales_vari"/>
      <sheetName val="Losses-gross"/>
      <sheetName val="Energy_bal"/>
      <sheetName val="MU Vari0405"/>
      <sheetName val="genco"/>
      <sheetName val="PPforFC_VC (0405TO)"/>
      <sheetName val="PPforFC_VC0405 (ver)"/>
      <sheetName val="PPforFC_VC0506 (ver)"/>
      <sheetName val="% of Elect"/>
      <sheetName val="Sheet1"/>
      <sheetName val="Sheet2"/>
      <sheetName val="Discom Details"/>
      <sheetName val="General"/>
      <sheetName val="Work_sheet"/>
      <sheetName val="Challan"/>
      <sheetName val="dpc cost"/>
      <sheetName val="SUMMERY"/>
      <sheetName val="BWSCPlt"/>
      <sheetName val="all"/>
      <sheetName val="CI"/>
      <sheetName val="DI"/>
      <sheetName val="G.R.P"/>
      <sheetName val="HDPE"/>
      <sheetName val="PSC REVISED"/>
      <sheetName val="pvc"/>
      <sheetName val="Form_A"/>
      <sheetName val="RevenueInput"/>
      <sheetName val="cover1"/>
      <sheetName val="ATP"/>
      <sheetName val="D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Balance Sheet"/>
      <sheetName val="Schedule to BS"/>
      <sheetName val="Profit And Loss"/>
      <sheetName val="Schedules to P &amp; L"/>
      <sheetName val="TB"/>
      <sheetName val="Share Capital"/>
      <sheetName val="Reserves &amp; Surplus"/>
      <sheetName val="Long-Term Borrowings"/>
      <sheetName val="Other Long Term Liabilities"/>
      <sheetName val="Long Term Provisions"/>
      <sheetName val="Short-Term Borrowings "/>
      <sheetName val="Other Current Liabilities"/>
      <sheetName val="Short Term Provisions"/>
      <sheetName val="Fixed Assets"/>
      <sheetName val="Non Current Investment"/>
      <sheetName val="NCA-Lng trm loans &amp; adv "/>
      <sheetName val="NCA-Other nca"/>
      <sheetName val="Current Investments"/>
      <sheetName val="Inventories"/>
      <sheetName val="Trade Receivables"/>
      <sheetName val="Cash and cash equivalents"/>
      <sheetName val="Short term loans and adv"/>
      <sheetName val="Other Curr Assets"/>
      <sheetName val="Cont liabilities and commitment"/>
      <sheetName val="Revenue From operation"/>
      <sheetName val="Other Income"/>
      <sheetName val="Finance Cost"/>
      <sheetName val="Deferred Tax"/>
      <sheetName val="MAT"/>
      <sheetName val="IT Dep"/>
      <sheetName val="Piv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K2" t="str">
            <v>Yes</v>
          </cell>
        </row>
        <row r="3">
          <cell r="K3" t="str">
            <v>No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 A - GENERAL"/>
      <sheetName val="PARTA-GENERAL (2)"/>
      <sheetName val="PART A - Balance Sheet"/>
      <sheetName val="PART A - PL"/>
      <sheetName val="PART A - PL(2)"/>
      <sheetName val="PART A - PL(3) - OI"/>
      <sheetName val="PART A - OI"/>
      <sheetName val="PART A - OI(2)"/>
      <sheetName val="PART A - QD(1)"/>
      <sheetName val="PART A - QD(2)"/>
      <sheetName val="PART B - TTI"/>
      <sheetName val="PART C"/>
      <sheetName val="Schedule HP BP"/>
      <sheetName val="Schedule BP(2)"/>
      <sheetName val="Schedule DPM - DOA"/>
      <sheetName val="Schedule DOA - DEP"/>
      <sheetName val="Schedule ESR CG"/>
      <sheetName val="FORMULAE"/>
      <sheetName val="Schedule OS CYLA"/>
      <sheetName val="Schedule BFLA CFL 10A"/>
      <sheetName val="Sch 10 B 80G"/>
      <sheetName val="Schedule 80-IA to 80-IC"/>
      <sheetName val="VIA STTR SPI SI "/>
      <sheetName val="Schedule EI AIR IT"/>
      <sheetName val="TDS1 TDS2 TCS"/>
      <sheetName val="FBT"/>
      <sheetName val="04REL"/>
      <sheetName val="all"/>
      <sheetName val="Demand"/>
      <sheetName val="ONLINE DUMP"/>
      <sheetName val="sand"/>
      <sheetName val="stone"/>
      <sheetName val="index"/>
      <sheetName val="Ag LF"/>
      <sheetName val="Energy_bal"/>
      <sheetName val="Data"/>
      <sheetName val="Form_A"/>
      <sheetName val="Graphs"/>
      <sheetName val="Sheet1"/>
      <sheetName val="1"/>
      <sheetName val="Part A General"/>
      <sheetName val="Sorted"/>
      <sheetName val="General"/>
      <sheetName val="MO EY"/>
      <sheetName val="MO CY"/>
      <sheetName val="STN WISE EMR"/>
      <sheetName val="Form-A"/>
      <sheetName val="1.1 Trs. Fai."/>
      <sheetName val="Total Sec Wise for 12-2007"/>
      <sheetName val="cover1"/>
      <sheetName val="SUMMERY"/>
      <sheetName val="Inputs"/>
      <sheetName val="Chal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Koganti, Trinath" id="{0E3035ED-B559-402A-BCBA-C27EE0A165A3}" userId="S::trinathkoganti@kpmg.com::53973ee2-ce5d-42a2-8dda-09257528a83c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1" dT="2025-10-22T06:55:58.22" personId="{0E3035ED-B559-402A-BCBA-C27EE0A165A3}" id="{9CB73413-1109-44BC-AB74-BD97F6C5F069}">
    <text>Derived in the ratio of GFA</text>
  </threadedComment>
  <threadedComment ref="B44" dT="2025-10-22T06:56:16.24" personId="{0E3035ED-B559-402A-BCBA-C27EE0A165A3}" id="{53A56373-0B60-45C7-9852-E27609B376D3}">
    <text>Derived in the ratio of GFA</text>
  </threadedComment>
  <threadedComment ref="B57" dT="2025-10-22T06:56:23.85" personId="{0E3035ED-B559-402A-BCBA-C27EE0A165A3}" id="{BC4F9055-8751-4898-AE93-38E0CFFEA83F}">
    <text>Derived in the ratio of GFA</text>
  </threadedComment>
  <threadedComment ref="B70" dT="2025-10-22T07:08:15.02" personId="{0E3035ED-B559-402A-BCBA-C27EE0A165A3}" id="{7ED5C477-0346-4515-9932-30D9A4D5F96C}">
    <text>As per MYT RST Order</text>
  </threadedComment>
  <threadedComment ref="B76" dT="2025-10-22T07:08:37.12" personId="{0E3035ED-B559-402A-BCBA-C27EE0A165A3}" id="{CB013016-2AD6-44CA-9D57-67C27F8D1CDC}">
    <text>As per MYT Wheeling Tariff Order, Page 74</text>
  </threadedComment>
</ThreadedComment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labourbureaunew.gov.in/LBO_indtab_new.pdf" TargetMode="External"/><Relationship Id="rId2" Type="http://schemas.openxmlformats.org/officeDocument/2006/relationships/hyperlink" Target="https://eaindustry.nic.in/default.asp" TargetMode="External"/><Relationship Id="rId1" Type="http://schemas.openxmlformats.org/officeDocument/2006/relationships/hyperlink" Target="https://pib.gov.in/PressReleasePage.aspx?PRID=1666782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15"/>
  <sheetViews>
    <sheetView workbookViewId="0">
      <selection activeCell="B15" sqref="B15"/>
    </sheetView>
  </sheetViews>
  <sheetFormatPr defaultRowHeight="15"/>
  <cols>
    <col min="2" max="2" width="38.28515625" bestFit="1" customWidth="1"/>
    <col min="3" max="3" width="10.7109375" bestFit="1" customWidth="1"/>
    <col min="4" max="4" width="8.7109375" bestFit="1" customWidth="1"/>
    <col min="5" max="5" width="13.42578125" bestFit="1" customWidth="1"/>
    <col min="6" max="6" width="10.7109375" hidden="1" customWidth="1"/>
    <col min="7" max="7" width="10.42578125" hidden="1" customWidth="1"/>
    <col min="8" max="8" width="11.42578125" hidden="1" customWidth="1"/>
    <col min="9" max="9" width="10.7109375" hidden="1" customWidth="1"/>
    <col min="10" max="10" width="17.28515625" hidden="1" customWidth="1"/>
    <col min="11" max="11" width="11.42578125" hidden="1" customWidth="1"/>
    <col min="12" max="12" width="0" hidden="1" customWidth="1"/>
    <col min="13" max="13" width="15.7109375" hidden="1" customWidth="1"/>
    <col min="14" max="14" width="10.42578125" hidden="1" customWidth="1"/>
    <col min="15" max="15" width="15.7109375" hidden="1" customWidth="1"/>
    <col min="16" max="17" width="0" hidden="1" customWidth="1"/>
  </cols>
  <sheetData>
    <row r="3" spans="2:15" ht="15.75">
      <c r="B3" s="28" t="s">
        <v>0</v>
      </c>
      <c r="C3" s="362" t="s">
        <v>1</v>
      </c>
      <c r="D3" s="362"/>
      <c r="E3" s="362"/>
      <c r="F3" s="363" t="s">
        <v>2</v>
      </c>
      <c r="G3" s="363"/>
      <c r="H3" s="363"/>
      <c r="I3" s="363" t="s">
        <v>3</v>
      </c>
      <c r="J3" s="363"/>
      <c r="K3" s="363"/>
    </row>
    <row r="4" spans="2:15">
      <c r="B4" s="27" t="s">
        <v>4</v>
      </c>
      <c r="C4" s="343" t="s">
        <v>5</v>
      </c>
      <c r="D4" s="344" t="s">
        <v>6</v>
      </c>
      <c r="E4" s="343" t="s">
        <v>7</v>
      </c>
      <c r="F4" s="140" t="s">
        <v>5</v>
      </c>
      <c r="G4" s="140" t="s">
        <v>8</v>
      </c>
      <c r="H4" s="140" t="s">
        <v>7</v>
      </c>
      <c r="I4" s="140" t="s">
        <v>5</v>
      </c>
      <c r="J4" s="140" t="s">
        <v>8</v>
      </c>
      <c r="K4" s="140" t="s">
        <v>7</v>
      </c>
    </row>
    <row r="5" spans="2:15">
      <c r="B5" s="17" t="s">
        <v>9</v>
      </c>
      <c r="C5" s="349">
        <f>3227+358.56</f>
        <v>3585.56</v>
      </c>
      <c r="D5" s="349">
        <f>'O&amp;M Expenses'!D7</f>
        <v>4025.43</v>
      </c>
      <c r="E5" s="349">
        <f>C5-D5</f>
        <v>-439.86999999999989</v>
      </c>
      <c r="F5" s="143">
        <f>3432.95+381.44</f>
        <v>3814.39</v>
      </c>
      <c r="G5" s="143">
        <f>'O&amp;M Expenses'!G7</f>
        <v>4333.0332534320005</v>
      </c>
      <c r="H5" s="143">
        <f>F5-G5</f>
        <v>-518.64325343200062</v>
      </c>
      <c r="I5" s="143">
        <f>3653.41+405.93</f>
        <v>4059.3399999999997</v>
      </c>
      <c r="J5" s="143">
        <f>'O&amp;M Expenses'!I7</f>
        <v>4589.6696335827755</v>
      </c>
      <c r="K5" s="143">
        <f>I5-J5</f>
        <v>-530.32963358277584</v>
      </c>
      <c r="M5" s="311">
        <f>J5*90%</f>
        <v>4130.7026702244984</v>
      </c>
      <c r="N5" s="311">
        <f>J5*10%</f>
        <v>458.96696335827755</v>
      </c>
    </row>
    <row r="6" spans="2:15">
      <c r="B6" s="17" t="s">
        <v>10</v>
      </c>
      <c r="C6" s="349">
        <f>481.83+53.54</f>
        <v>535.37</v>
      </c>
      <c r="D6" s="349">
        <f>RoE!I35</f>
        <v>809.32420713435749</v>
      </c>
      <c r="E6" s="349">
        <f t="shared" ref="E6:E13" si="0">C6-D6</f>
        <v>-273.95420713435749</v>
      </c>
      <c r="F6" s="309">
        <f>583.48+64.83</f>
        <v>648.31000000000006</v>
      </c>
      <c r="G6" s="145">
        <f>RoE!J35</f>
        <v>911.4336115738879</v>
      </c>
      <c r="H6" s="143">
        <f t="shared" ref="H6:H13" si="1">F6-G6</f>
        <v>-263.12361157388784</v>
      </c>
      <c r="I6" s="143">
        <f>670.55+74.51</f>
        <v>745.06</v>
      </c>
      <c r="J6" s="145">
        <f>RoE!K35</f>
        <v>1148.7464208678266</v>
      </c>
      <c r="K6" s="143">
        <f t="shared" ref="K6:K13" si="2">I6-J6</f>
        <v>-403.68642086782666</v>
      </c>
      <c r="M6" s="311">
        <f t="shared" ref="M6:M9" si="3">J6*90%</f>
        <v>1033.871778781044</v>
      </c>
      <c r="N6" s="311">
        <f t="shared" ref="N6:N7" si="4">J6*10%</f>
        <v>114.87464208678267</v>
      </c>
    </row>
    <row r="7" spans="2:15">
      <c r="B7" s="17" t="s">
        <v>11</v>
      </c>
      <c r="C7" s="349">
        <f>422.68+46.96</f>
        <v>469.64</v>
      </c>
      <c r="D7" s="349">
        <f>'Interest and finance charges '!D24</f>
        <v>533.88336713244689</v>
      </c>
      <c r="E7" s="349">
        <f t="shared" si="0"/>
        <v>-64.243367132446906</v>
      </c>
      <c r="F7" s="143">
        <f>481.22+53.47</f>
        <v>534.69000000000005</v>
      </c>
      <c r="G7" s="143">
        <f ca="1">'Interest and finance charges '!E24</f>
        <v>651.90791920984998</v>
      </c>
      <c r="H7" s="143">
        <f t="shared" ca="1" si="1"/>
        <v>-117.21791920984992</v>
      </c>
      <c r="I7" s="143">
        <f>553.87+61.54</f>
        <v>615.41</v>
      </c>
      <c r="J7" s="143">
        <f ca="1">'Interest and finance charges '!F24</f>
        <v>933.73993171560676</v>
      </c>
      <c r="K7" s="143">
        <f t="shared" ca="1" si="2"/>
        <v>-318.32993171560679</v>
      </c>
      <c r="M7" s="311">
        <f t="shared" ca="1" si="3"/>
        <v>840.36593854404612</v>
      </c>
      <c r="N7" s="311">
        <f t="shared" ca="1" si="4"/>
        <v>93.373993171560684</v>
      </c>
    </row>
    <row r="8" spans="2:15">
      <c r="B8" s="17" t="s">
        <v>12</v>
      </c>
      <c r="C8" s="349">
        <v>85.17</v>
      </c>
      <c r="D8" s="349">
        <f ca="1">'Interest on Working Capital'!D11</f>
        <v>126.2955742646935</v>
      </c>
      <c r="E8" s="349">
        <f t="shared" ca="1" si="0"/>
        <v>-41.125574264693498</v>
      </c>
      <c r="F8" s="143">
        <v>93.87</v>
      </c>
      <c r="G8" s="143">
        <f ca="1">'Interest on Working Capital'!E11</f>
        <v>135.82286463902275</v>
      </c>
      <c r="H8" s="143">
        <f t="shared" ca="1" si="1"/>
        <v>-41.952864639022749</v>
      </c>
      <c r="I8" s="143">
        <f>102.51</f>
        <v>102.51</v>
      </c>
      <c r="J8" s="143">
        <f ca="1">'Interest on Working Capital'!F11</f>
        <v>151.37161327845399</v>
      </c>
      <c r="K8" s="143">
        <f t="shared" ca="1" si="2"/>
        <v>-48.861613278453987</v>
      </c>
      <c r="M8" s="311">
        <f ca="1">J8</f>
        <v>151.37161327845399</v>
      </c>
      <c r="N8" s="311"/>
    </row>
    <row r="9" spans="2:15">
      <c r="B9" s="17" t="s">
        <v>13</v>
      </c>
      <c r="C9" s="350">
        <f>151.88+16.88</f>
        <v>168.76</v>
      </c>
      <c r="D9" s="349">
        <f>RoE!D28</f>
        <v>301.53841978937083</v>
      </c>
      <c r="E9" s="349">
        <f t="shared" si="0"/>
        <v>-132.77841978937084</v>
      </c>
      <c r="F9" s="143">
        <f>250.74+27.86</f>
        <v>278.60000000000002</v>
      </c>
      <c r="G9" s="143">
        <f ca="1">RoE!E28</f>
        <v>329.01207554531476</v>
      </c>
      <c r="H9" s="143">
        <f t="shared" ca="1" si="1"/>
        <v>-50.412075545314735</v>
      </c>
      <c r="I9" s="143">
        <f>314.37+34.93</f>
        <v>349.3</v>
      </c>
      <c r="J9" s="143">
        <f ca="1">RoE!F28</f>
        <v>481.87293596596658</v>
      </c>
      <c r="K9" s="143">
        <f t="shared" ca="1" si="2"/>
        <v>-132.57293596596656</v>
      </c>
      <c r="M9" s="311">
        <f t="shared" ca="1" si="3"/>
        <v>433.68564236936993</v>
      </c>
      <c r="N9" s="311">
        <f ca="1">J9*10%</f>
        <v>48.18729359659666</v>
      </c>
    </row>
    <row r="10" spans="2:15">
      <c r="B10" s="141" t="s">
        <v>465</v>
      </c>
      <c r="C10" s="349"/>
      <c r="D10" s="349">
        <v>25.6</v>
      </c>
      <c r="E10" s="349"/>
      <c r="F10" s="143"/>
      <c r="G10" s="144"/>
      <c r="H10" s="143"/>
      <c r="I10" s="143"/>
      <c r="J10" s="143"/>
      <c r="K10" s="143">
        <f t="shared" si="2"/>
        <v>0</v>
      </c>
      <c r="M10" s="311"/>
      <c r="N10" s="311"/>
    </row>
    <row r="11" spans="2:15">
      <c r="B11" s="27" t="s">
        <v>14</v>
      </c>
      <c r="C11" s="351">
        <f>SUM(C5:C10)</f>
        <v>4844.5000000000009</v>
      </c>
      <c r="D11" s="351">
        <f ca="1">SUM(D5:D10)</f>
        <v>5822.0715683208691</v>
      </c>
      <c r="E11" s="351">
        <f t="shared" ca="1" si="0"/>
        <v>-977.57156832086821</v>
      </c>
      <c r="F11" s="146">
        <f t="shared" ref="F11:J11" si="5">SUM(F5:F10)</f>
        <v>5369.86</v>
      </c>
      <c r="G11" s="146">
        <f t="shared" ca="1" si="5"/>
        <v>6361.2097244000752</v>
      </c>
      <c r="H11" s="146">
        <f t="shared" ca="1" si="1"/>
        <v>-991.3497244000755</v>
      </c>
      <c r="I11" s="146">
        <f t="shared" si="5"/>
        <v>5871.62</v>
      </c>
      <c r="J11" s="146">
        <f t="shared" ca="1" si="5"/>
        <v>7305.4005354106293</v>
      </c>
      <c r="K11" s="146">
        <f t="shared" ca="1" si="2"/>
        <v>-1433.7805354106295</v>
      </c>
      <c r="M11" s="311">
        <f ca="1">SUM(M5:M10)</f>
        <v>6589.9976431974119</v>
      </c>
      <c r="N11" s="311">
        <f ca="1">SUM(N5:N10)</f>
        <v>715.40289221321746</v>
      </c>
      <c r="O11" s="26">
        <f ca="1">M11-E14</f>
        <v>7135.18921151828</v>
      </c>
    </row>
    <row r="12" spans="2:15">
      <c r="B12" s="17" t="s">
        <v>15</v>
      </c>
      <c r="C12" s="349">
        <v>153.55000000000001</v>
      </c>
      <c r="D12" s="352">
        <f>NTI!D18</f>
        <v>570.43999999999994</v>
      </c>
      <c r="E12" s="349">
        <f t="shared" si="0"/>
        <v>-416.88999999999993</v>
      </c>
      <c r="F12" s="143">
        <f>'[12]NTI proj'!$L$26+RoE!J36</f>
        <v>483.27789992139333</v>
      </c>
      <c r="G12" s="143">
        <f>F12</f>
        <v>483.27789992139333</v>
      </c>
      <c r="H12" s="143">
        <f t="shared" si="1"/>
        <v>0</v>
      </c>
      <c r="I12" s="143">
        <v>159.75</v>
      </c>
      <c r="J12" s="143">
        <f>'[12]NTI proj'!$M$26+RoE!K36</f>
        <v>531.65049721080231</v>
      </c>
      <c r="K12" s="143">
        <f t="shared" si="2"/>
        <v>-371.90049721080231</v>
      </c>
      <c r="M12" s="311">
        <f>J12</f>
        <v>531.65049721080231</v>
      </c>
    </row>
    <row r="13" spans="2:15" ht="29.25">
      <c r="B13" s="142" t="s">
        <v>16</v>
      </c>
      <c r="C13" s="353">
        <v>1.21</v>
      </c>
      <c r="D13" s="353">
        <v>16.7</v>
      </c>
      <c r="E13" s="353">
        <f t="shared" si="0"/>
        <v>-15.489999999999998</v>
      </c>
      <c r="F13" s="147">
        <v>1.19</v>
      </c>
      <c r="G13" s="147">
        <f>F13</f>
        <v>1.19</v>
      </c>
      <c r="H13" s="147">
        <f t="shared" si="1"/>
        <v>0</v>
      </c>
      <c r="I13" s="147">
        <v>1.28</v>
      </c>
      <c r="J13" s="147">
        <f>I13</f>
        <v>1.28</v>
      </c>
      <c r="K13" s="147">
        <f t="shared" si="2"/>
        <v>0</v>
      </c>
      <c r="M13" s="311">
        <f>J13</f>
        <v>1.28</v>
      </c>
    </row>
    <row r="14" spans="2:15">
      <c r="B14" s="27" t="s">
        <v>17</v>
      </c>
      <c r="C14" s="354">
        <f>C11-C12-C13</f>
        <v>4689.7400000000007</v>
      </c>
      <c r="D14" s="354">
        <f t="shared" ref="D14:K14" ca="1" si="6">D11-D12-D13</f>
        <v>5234.9315683208697</v>
      </c>
      <c r="E14" s="355">
        <f t="shared" ca="1" si="6"/>
        <v>-545.19156832086833</v>
      </c>
      <c r="F14" s="148">
        <f t="shared" si="6"/>
        <v>4885.3921000786067</v>
      </c>
      <c r="G14" s="148">
        <f t="shared" ca="1" si="6"/>
        <v>5876.7418244786822</v>
      </c>
      <c r="H14" s="149">
        <f t="shared" ca="1" si="6"/>
        <v>-991.3497244000755</v>
      </c>
      <c r="I14" s="148">
        <f t="shared" si="6"/>
        <v>5710.59</v>
      </c>
      <c r="J14" s="148">
        <f t="shared" ca="1" si="6"/>
        <v>6772.4700381998273</v>
      </c>
      <c r="K14" s="149">
        <f t="shared" ca="1" si="6"/>
        <v>-1061.8800381998271</v>
      </c>
      <c r="M14" s="311">
        <f ca="1">M11-M12-M13</f>
        <v>6057.0671459866098</v>
      </c>
      <c r="N14" s="205">
        <f ca="1">N11-N12-N13</f>
        <v>715.40289221321746</v>
      </c>
      <c r="O14" s="26">
        <f ca="1">M14-E14</f>
        <v>6602.2587143074779</v>
      </c>
    </row>
    <row r="15" spans="2:15">
      <c r="J15" s="148">
        <f ca="1">J14-E14</f>
        <v>7317.6616065206954</v>
      </c>
      <c r="M15" s="361"/>
    </row>
  </sheetData>
  <mergeCells count="3">
    <mergeCell ref="C3:E3"/>
    <mergeCell ref="F3:H3"/>
    <mergeCell ref="I3:K3"/>
  </mergeCells>
  <phoneticPr fontId="17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50"/>
  <sheetViews>
    <sheetView workbookViewId="0">
      <pane xSplit="3" ySplit="5" topLeftCell="D36" activePane="bottomRight" state="frozen"/>
      <selection pane="topRight" activeCell="D1" sqref="D1"/>
      <selection pane="bottomLeft" activeCell="A6" sqref="A6"/>
      <selection pane="bottomRight" activeCell="E45" sqref="E45"/>
    </sheetView>
  </sheetViews>
  <sheetFormatPr defaultRowHeight="15.75"/>
  <cols>
    <col min="1" max="1" width="3.7109375" style="150" bestFit="1" customWidth="1"/>
    <col min="2" max="2" width="5.28515625" style="192" bestFit="1" customWidth="1"/>
    <col min="3" max="3" width="44.7109375" bestFit="1" customWidth="1"/>
    <col min="4" max="4" width="11.5703125" bestFit="1" customWidth="1"/>
    <col min="5" max="5" width="10.42578125" style="194" customWidth="1"/>
    <col min="6" max="6" width="10.7109375" style="194" customWidth="1"/>
    <col min="7" max="7" width="14.7109375" style="194" customWidth="1"/>
    <col min="8" max="8" width="11.5703125" style="194" customWidth="1"/>
    <col min="9" max="11" width="11.5703125" bestFit="1" customWidth="1"/>
    <col min="12" max="12" width="10.7109375" bestFit="1" customWidth="1"/>
    <col min="13" max="13" width="11.28515625" customWidth="1"/>
    <col min="14" max="14" width="11.28515625" bestFit="1" customWidth="1"/>
    <col min="15" max="17" width="11.5703125" bestFit="1" customWidth="1"/>
    <col min="18" max="18" width="3.42578125" bestFit="1" customWidth="1"/>
    <col min="19" max="19" width="11.5703125" bestFit="1" customWidth="1"/>
    <col min="20" max="20" width="7" bestFit="1" customWidth="1"/>
    <col min="21" max="21" width="13.28515625" customWidth="1"/>
    <col min="22" max="22" width="15.42578125" customWidth="1"/>
    <col min="23" max="23" width="17.28515625" customWidth="1"/>
    <col min="24" max="24" width="21.28515625" bestFit="1" customWidth="1"/>
    <col min="25" max="25" width="25.5703125" bestFit="1" customWidth="1"/>
    <col min="26" max="26" width="30" bestFit="1" customWidth="1"/>
    <col min="27" max="27" width="31.28515625" bestFit="1" customWidth="1"/>
    <col min="28" max="28" width="21.7109375" bestFit="1" customWidth="1"/>
    <col min="29" max="30" width="21.28515625" bestFit="1" customWidth="1"/>
    <col min="31" max="31" width="20.28515625" bestFit="1" customWidth="1"/>
    <col min="252" max="252" width="3.7109375" bestFit="1" customWidth="1"/>
    <col min="253" max="253" width="5.28515625" bestFit="1" customWidth="1"/>
    <col min="254" max="254" width="30.28515625" bestFit="1" customWidth="1"/>
    <col min="255" max="255" width="11.5703125" bestFit="1" customWidth="1"/>
    <col min="256" max="256" width="10.42578125" bestFit="1" customWidth="1"/>
    <col min="257" max="257" width="10.7109375" bestFit="1" customWidth="1"/>
    <col min="258" max="258" width="14.7109375" bestFit="1" customWidth="1"/>
    <col min="259" max="262" width="11.5703125" bestFit="1" customWidth="1"/>
    <col min="263" max="263" width="10.7109375" bestFit="1" customWidth="1"/>
    <col min="264" max="264" width="11.28515625" customWidth="1"/>
    <col min="265" max="265" width="11.28515625" bestFit="1" customWidth="1"/>
    <col min="266" max="268" width="11.5703125" bestFit="1" customWidth="1"/>
    <col min="269" max="269" width="3.42578125" bestFit="1" customWidth="1"/>
    <col min="270" max="270" width="11.5703125" bestFit="1" customWidth="1"/>
    <col min="271" max="271" width="7.7109375" bestFit="1" customWidth="1"/>
    <col min="272" max="272" width="4.7109375" bestFit="1" customWidth="1"/>
    <col min="273" max="273" width="5.7109375" customWidth="1"/>
    <col min="274" max="274" width="5.28515625" bestFit="1" customWidth="1"/>
    <col min="275" max="275" width="17.42578125" bestFit="1" customWidth="1"/>
    <col min="276" max="276" width="13" bestFit="1" customWidth="1"/>
    <col min="277" max="277" width="24.5703125" bestFit="1" customWidth="1"/>
    <col min="278" max="278" width="37.42578125" bestFit="1" customWidth="1"/>
    <col min="279" max="279" width="30.7109375" bestFit="1" customWidth="1"/>
    <col min="280" max="280" width="21.28515625" bestFit="1" customWidth="1"/>
    <col min="281" max="281" width="25.5703125" bestFit="1" customWidth="1"/>
    <col min="282" max="282" width="30" bestFit="1" customWidth="1"/>
    <col min="283" max="283" width="31.28515625" bestFit="1" customWidth="1"/>
    <col min="284" max="284" width="21.7109375" bestFit="1" customWidth="1"/>
    <col min="285" max="286" width="21.28515625" bestFit="1" customWidth="1"/>
    <col min="287" max="287" width="20.28515625" bestFit="1" customWidth="1"/>
    <col min="508" max="508" width="3.7109375" bestFit="1" customWidth="1"/>
    <col min="509" max="509" width="5.28515625" bestFit="1" customWidth="1"/>
    <col min="510" max="510" width="30.28515625" bestFit="1" customWidth="1"/>
    <col min="511" max="511" width="11.5703125" bestFit="1" customWidth="1"/>
    <col min="512" max="512" width="10.42578125" bestFit="1" customWidth="1"/>
    <col min="513" max="513" width="10.7109375" bestFit="1" customWidth="1"/>
    <col min="514" max="514" width="14.7109375" bestFit="1" customWidth="1"/>
    <col min="515" max="518" width="11.5703125" bestFit="1" customWidth="1"/>
    <col min="519" max="519" width="10.7109375" bestFit="1" customWidth="1"/>
    <col min="520" max="520" width="11.28515625" customWidth="1"/>
    <col min="521" max="521" width="11.28515625" bestFit="1" customWidth="1"/>
    <col min="522" max="524" width="11.5703125" bestFit="1" customWidth="1"/>
    <col min="525" max="525" width="3.42578125" bestFit="1" customWidth="1"/>
    <col min="526" max="526" width="11.5703125" bestFit="1" customWidth="1"/>
    <col min="527" max="527" width="7.7109375" bestFit="1" customWidth="1"/>
    <col min="528" max="528" width="4.7109375" bestFit="1" customWidth="1"/>
    <col min="529" max="529" width="5.7109375" customWidth="1"/>
    <col min="530" max="530" width="5.28515625" bestFit="1" customWidth="1"/>
    <col min="531" max="531" width="17.42578125" bestFit="1" customWidth="1"/>
    <col min="532" max="532" width="13" bestFit="1" customWidth="1"/>
    <col min="533" max="533" width="24.5703125" bestFit="1" customWidth="1"/>
    <col min="534" max="534" width="37.42578125" bestFit="1" customWidth="1"/>
    <col min="535" max="535" width="30.7109375" bestFit="1" customWidth="1"/>
    <col min="536" max="536" width="21.28515625" bestFit="1" customWidth="1"/>
    <col min="537" max="537" width="25.5703125" bestFit="1" customWidth="1"/>
    <col min="538" max="538" width="30" bestFit="1" customWidth="1"/>
    <col min="539" max="539" width="31.28515625" bestFit="1" customWidth="1"/>
    <col min="540" max="540" width="21.7109375" bestFit="1" customWidth="1"/>
    <col min="541" max="542" width="21.28515625" bestFit="1" customWidth="1"/>
    <col min="543" max="543" width="20.28515625" bestFit="1" customWidth="1"/>
    <col min="764" max="764" width="3.7109375" bestFit="1" customWidth="1"/>
    <col min="765" max="765" width="5.28515625" bestFit="1" customWidth="1"/>
    <col min="766" max="766" width="30.28515625" bestFit="1" customWidth="1"/>
    <col min="767" max="767" width="11.5703125" bestFit="1" customWidth="1"/>
    <col min="768" max="768" width="10.42578125" bestFit="1" customWidth="1"/>
    <col min="769" max="769" width="10.7109375" bestFit="1" customWidth="1"/>
    <col min="770" max="770" width="14.7109375" bestFit="1" customWidth="1"/>
    <col min="771" max="774" width="11.5703125" bestFit="1" customWidth="1"/>
    <col min="775" max="775" width="10.7109375" bestFit="1" customWidth="1"/>
    <col min="776" max="776" width="11.28515625" customWidth="1"/>
    <col min="777" max="777" width="11.28515625" bestFit="1" customWidth="1"/>
    <col min="778" max="780" width="11.5703125" bestFit="1" customWidth="1"/>
    <col min="781" max="781" width="3.42578125" bestFit="1" customWidth="1"/>
    <col min="782" max="782" width="11.5703125" bestFit="1" customWidth="1"/>
    <col min="783" max="783" width="7.7109375" bestFit="1" customWidth="1"/>
    <col min="784" max="784" width="4.7109375" bestFit="1" customWidth="1"/>
    <col min="785" max="785" width="5.7109375" customWidth="1"/>
    <col min="786" max="786" width="5.28515625" bestFit="1" customWidth="1"/>
    <col min="787" max="787" width="17.42578125" bestFit="1" customWidth="1"/>
    <col min="788" max="788" width="13" bestFit="1" customWidth="1"/>
    <col min="789" max="789" width="24.5703125" bestFit="1" customWidth="1"/>
    <col min="790" max="790" width="37.42578125" bestFit="1" customWidth="1"/>
    <col min="791" max="791" width="30.7109375" bestFit="1" customWidth="1"/>
    <col min="792" max="792" width="21.28515625" bestFit="1" customWidth="1"/>
    <col min="793" max="793" width="25.5703125" bestFit="1" customWidth="1"/>
    <col min="794" max="794" width="30" bestFit="1" customWidth="1"/>
    <col min="795" max="795" width="31.28515625" bestFit="1" customWidth="1"/>
    <col min="796" max="796" width="21.7109375" bestFit="1" customWidth="1"/>
    <col min="797" max="798" width="21.28515625" bestFit="1" customWidth="1"/>
    <col min="799" max="799" width="20.28515625" bestFit="1" customWidth="1"/>
    <col min="1020" max="1020" width="3.7109375" bestFit="1" customWidth="1"/>
    <col min="1021" max="1021" width="5.28515625" bestFit="1" customWidth="1"/>
    <col min="1022" max="1022" width="30.28515625" bestFit="1" customWidth="1"/>
    <col min="1023" max="1023" width="11.5703125" bestFit="1" customWidth="1"/>
    <col min="1024" max="1024" width="10.42578125" bestFit="1" customWidth="1"/>
    <col min="1025" max="1025" width="10.7109375" bestFit="1" customWidth="1"/>
    <col min="1026" max="1026" width="14.7109375" bestFit="1" customWidth="1"/>
    <col min="1027" max="1030" width="11.5703125" bestFit="1" customWidth="1"/>
    <col min="1031" max="1031" width="10.7109375" bestFit="1" customWidth="1"/>
    <col min="1032" max="1032" width="11.28515625" customWidth="1"/>
    <col min="1033" max="1033" width="11.28515625" bestFit="1" customWidth="1"/>
    <col min="1034" max="1036" width="11.5703125" bestFit="1" customWidth="1"/>
    <col min="1037" max="1037" width="3.42578125" bestFit="1" customWidth="1"/>
    <col min="1038" max="1038" width="11.5703125" bestFit="1" customWidth="1"/>
    <col min="1039" max="1039" width="7.7109375" bestFit="1" customWidth="1"/>
    <col min="1040" max="1040" width="4.7109375" bestFit="1" customWidth="1"/>
    <col min="1041" max="1041" width="5.7109375" customWidth="1"/>
    <col min="1042" max="1042" width="5.28515625" bestFit="1" customWidth="1"/>
    <col min="1043" max="1043" width="17.42578125" bestFit="1" customWidth="1"/>
    <col min="1044" max="1044" width="13" bestFit="1" customWidth="1"/>
    <col min="1045" max="1045" width="24.5703125" bestFit="1" customWidth="1"/>
    <col min="1046" max="1046" width="37.42578125" bestFit="1" customWidth="1"/>
    <col min="1047" max="1047" width="30.7109375" bestFit="1" customWidth="1"/>
    <col min="1048" max="1048" width="21.28515625" bestFit="1" customWidth="1"/>
    <col min="1049" max="1049" width="25.5703125" bestFit="1" customWidth="1"/>
    <col min="1050" max="1050" width="30" bestFit="1" customWidth="1"/>
    <col min="1051" max="1051" width="31.28515625" bestFit="1" customWidth="1"/>
    <col min="1052" max="1052" width="21.7109375" bestFit="1" customWidth="1"/>
    <col min="1053" max="1054" width="21.28515625" bestFit="1" customWidth="1"/>
    <col min="1055" max="1055" width="20.28515625" bestFit="1" customWidth="1"/>
    <col min="1276" max="1276" width="3.7109375" bestFit="1" customWidth="1"/>
    <col min="1277" max="1277" width="5.28515625" bestFit="1" customWidth="1"/>
    <col min="1278" max="1278" width="30.28515625" bestFit="1" customWidth="1"/>
    <col min="1279" max="1279" width="11.5703125" bestFit="1" customWidth="1"/>
    <col min="1280" max="1280" width="10.42578125" bestFit="1" customWidth="1"/>
    <col min="1281" max="1281" width="10.7109375" bestFit="1" customWidth="1"/>
    <col min="1282" max="1282" width="14.7109375" bestFit="1" customWidth="1"/>
    <col min="1283" max="1286" width="11.5703125" bestFit="1" customWidth="1"/>
    <col min="1287" max="1287" width="10.7109375" bestFit="1" customWidth="1"/>
    <col min="1288" max="1288" width="11.28515625" customWidth="1"/>
    <col min="1289" max="1289" width="11.28515625" bestFit="1" customWidth="1"/>
    <col min="1290" max="1292" width="11.5703125" bestFit="1" customWidth="1"/>
    <col min="1293" max="1293" width="3.42578125" bestFit="1" customWidth="1"/>
    <col min="1294" max="1294" width="11.5703125" bestFit="1" customWidth="1"/>
    <col min="1295" max="1295" width="7.7109375" bestFit="1" customWidth="1"/>
    <col min="1296" max="1296" width="4.7109375" bestFit="1" customWidth="1"/>
    <col min="1297" max="1297" width="5.7109375" customWidth="1"/>
    <col min="1298" max="1298" width="5.28515625" bestFit="1" customWidth="1"/>
    <col min="1299" max="1299" width="17.42578125" bestFit="1" customWidth="1"/>
    <col min="1300" max="1300" width="13" bestFit="1" customWidth="1"/>
    <col min="1301" max="1301" width="24.5703125" bestFit="1" customWidth="1"/>
    <col min="1302" max="1302" width="37.42578125" bestFit="1" customWidth="1"/>
    <col min="1303" max="1303" width="30.7109375" bestFit="1" customWidth="1"/>
    <col min="1304" max="1304" width="21.28515625" bestFit="1" customWidth="1"/>
    <col min="1305" max="1305" width="25.5703125" bestFit="1" customWidth="1"/>
    <col min="1306" max="1306" width="30" bestFit="1" customWidth="1"/>
    <col min="1307" max="1307" width="31.28515625" bestFit="1" customWidth="1"/>
    <col min="1308" max="1308" width="21.7109375" bestFit="1" customWidth="1"/>
    <col min="1309" max="1310" width="21.28515625" bestFit="1" customWidth="1"/>
    <col min="1311" max="1311" width="20.28515625" bestFit="1" customWidth="1"/>
    <col min="1532" max="1532" width="3.7109375" bestFit="1" customWidth="1"/>
    <col min="1533" max="1533" width="5.28515625" bestFit="1" customWidth="1"/>
    <col min="1534" max="1534" width="30.28515625" bestFit="1" customWidth="1"/>
    <col min="1535" max="1535" width="11.5703125" bestFit="1" customWidth="1"/>
    <col min="1536" max="1536" width="10.42578125" bestFit="1" customWidth="1"/>
    <col min="1537" max="1537" width="10.7109375" bestFit="1" customWidth="1"/>
    <col min="1538" max="1538" width="14.7109375" bestFit="1" customWidth="1"/>
    <col min="1539" max="1542" width="11.5703125" bestFit="1" customWidth="1"/>
    <col min="1543" max="1543" width="10.7109375" bestFit="1" customWidth="1"/>
    <col min="1544" max="1544" width="11.28515625" customWidth="1"/>
    <col min="1545" max="1545" width="11.28515625" bestFit="1" customWidth="1"/>
    <col min="1546" max="1548" width="11.5703125" bestFit="1" customWidth="1"/>
    <col min="1549" max="1549" width="3.42578125" bestFit="1" customWidth="1"/>
    <col min="1550" max="1550" width="11.5703125" bestFit="1" customWidth="1"/>
    <col min="1551" max="1551" width="7.7109375" bestFit="1" customWidth="1"/>
    <col min="1552" max="1552" width="4.7109375" bestFit="1" customWidth="1"/>
    <col min="1553" max="1553" width="5.7109375" customWidth="1"/>
    <col min="1554" max="1554" width="5.28515625" bestFit="1" customWidth="1"/>
    <col min="1555" max="1555" width="17.42578125" bestFit="1" customWidth="1"/>
    <col min="1556" max="1556" width="13" bestFit="1" customWidth="1"/>
    <col min="1557" max="1557" width="24.5703125" bestFit="1" customWidth="1"/>
    <col min="1558" max="1558" width="37.42578125" bestFit="1" customWidth="1"/>
    <col min="1559" max="1559" width="30.7109375" bestFit="1" customWidth="1"/>
    <col min="1560" max="1560" width="21.28515625" bestFit="1" customWidth="1"/>
    <col min="1561" max="1561" width="25.5703125" bestFit="1" customWidth="1"/>
    <col min="1562" max="1562" width="30" bestFit="1" customWidth="1"/>
    <col min="1563" max="1563" width="31.28515625" bestFit="1" customWidth="1"/>
    <col min="1564" max="1564" width="21.7109375" bestFit="1" customWidth="1"/>
    <col min="1565" max="1566" width="21.28515625" bestFit="1" customWidth="1"/>
    <col min="1567" max="1567" width="20.28515625" bestFit="1" customWidth="1"/>
    <col min="1788" max="1788" width="3.7109375" bestFit="1" customWidth="1"/>
    <col min="1789" max="1789" width="5.28515625" bestFit="1" customWidth="1"/>
    <col min="1790" max="1790" width="30.28515625" bestFit="1" customWidth="1"/>
    <col min="1791" max="1791" width="11.5703125" bestFit="1" customWidth="1"/>
    <col min="1792" max="1792" width="10.42578125" bestFit="1" customWidth="1"/>
    <col min="1793" max="1793" width="10.7109375" bestFit="1" customWidth="1"/>
    <col min="1794" max="1794" width="14.7109375" bestFit="1" customWidth="1"/>
    <col min="1795" max="1798" width="11.5703125" bestFit="1" customWidth="1"/>
    <col min="1799" max="1799" width="10.7109375" bestFit="1" customWidth="1"/>
    <col min="1800" max="1800" width="11.28515625" customWidth="1"/>
    <col min="1801" max="1801" width="11.28515625" bestFit="1" customWidth="1"/>
    <col min="1802" max="1804" width="11.5703125" bestFit="1" customWidth="1"/>
    <col min="1805" max="1805" width="3.42578125" bestFit="1" customWidth="1"/>
    <col min="1806" max="1806" width="11.5703125" bestFit="1" customWidth="1"/>
    <col min="1807" max="1807" width="7.7109375" bestFit="1" customWidth="1"/>
    <col min="1808" max="1808" width="4.7109375" bestFit="1" customWidth="1"/>
    <col min="1809" max="1809" width="5.7109375" customWidth="1"/>
    <col min="1810" max="1810" width="5.28515625" bestFit="1" customWidth="1"/>
    <col min="1811" max="1811" width="17.42578125" bestFit="1" customWidth="1"/>
    <col min="1812" max="1812" width="13" bestFit="1" customWidth="1"/>
    <col min="1813" max="1813" width="24.5703125" bestFit="1" customWidth="1"/>
    <col min="1814" max="1814" width="37.42578125" bestFit="1" customWidth="1"/>
    <col min="1815" max="1815" width="30.7109375" bestFit="1" customWidth="1"/>
    <col min="1816" max="1816" width="21.28515625" bestFit="1" customWidth="1"/>
    <col min="1817" max="1817" width="25.5703125" bestFit="1" customWidth="1"/>
    <col min="1818" max="1818" width="30" bestFit="1" customWidth="1"/>
    <col min="1819" max="1819" width="31.28515625" bestFit="1" customWidth="1"/>
    <col min="1820" max="1820" width="21.7109375" bestFit="1" customWidth="1"/>
    <col min="1821" max="1822" width="21.28515625" bestFit="1" customWidth="1"/>
    <col min="1823" max="1823" width="20.28515625" bestFit="1" customWidth="1"/>
    <col min="2044" max="2044" width="3.7109375" bestFit="1" customWidth="1"/>
    <col min="2045" max="2045" width="5.28515625" bestFit="1" customWidth="1"/>
    <col min="2046" max="2046" width="30.28515625" bestFit="1" customWidth="1"/>
    <col min="2047" max="2047" width="11.5703125" bestFit="1" customWidth="1"/>
    <col min="2048" max="2048" width="10.42578125" bestFit="1" customWidth="1"/>
    <col min="2049" max="2049" width="10.7109375" bestFit="1" customWidth="1"/>
    <col min="2050" max="2050" width="14.7109375" bestFit="1" customWidth="1"/>
    <col min="2051" max="2054" width="11.5703125" bestFit="1" customWidth="1"/>
    <col min="2055" max="2055" width="10.7109375" bestFit="1" customWidth="1"/>
    <col min="2056" max="2056" width="11.28515625" customWidth="1"/>
    <col min="2057" max="2057" width="11.28515625" bestFit="1" customWidth="1"/>
    <col min="2058" max="2060" width="11.5703125" bestFit="1" customWidth="1"/>
    <col min="2061" max="2061" width="3.42578125" bestFit="1" customWidth="1"/>
    <col min="2062" max="2062" width="11.5703125" bestFit="1" customWidth="1"/>
    <col min="2063" max="2063" width="7.7109375" bestFit="1" customWidth="1"/>
    <col min="2064" max="2064" width="4.7109375" bestFit="1" customWidth="1"/>
    <col min="2065" max="2065" width="5.7109375" customWidth="1"/>
    <col min="2066" max="2066" width="5.28515625" bestFit="1" customWidth="1"/>
    <col min="2067" max="2067" width="17.42578125" bestFit="1" customWidth="1"/>
    <col min="2068" max="2068" width="13" bestFit="1" customWidth="1"/>
    <col min="2069" max="2069" width="24.5703125" bestFit="1" customWidth="1"/>
    <col min="2070" max="2070" width="37.42578125" bestFit="1" customWidth="1"/>
    <col min="2071" max="2071" width="30.7109375" bestFit="1" customWidth="1"/>
    <col min="2072" max="2072" width="21.28515625" bestFit="1" customWidth="1"/>
    <col min="2073" max="2073" width="25.5703125" bestFit="1" customWidth="1"/>
    <col min="2074" max="2074" width="30" bestFit="1" customWidth="1"/>
    <col min="2075" max="2075" width="31.28515625" bestFit="1" customWidth="1"/>
    <col min="2076" max="2076" width="21.7109375" bestFit="1" customWidth="1"/>
    <col min="2077" max="2078" width="21.28515625" bestFit="1" customWidth="1"/>
    <col min="2079" max="2079" width="20.28515625" bestFit="1" customWidth="1"/>
    <col min="2300" max="2300" width="3.7109375" bestFit="1" customWidth="1"/>
    <col min="2301" max="2301" width="5.28515625" bestFit="1" customWidth="1"/>
    <col min="2302" max="2302" width="30.28515625" bestFit="1" customWidth="1"/>
    <col min="2303" max="2303" width="11.5703125" bestFit="1" customWidth="1"/>
    <col min="2304" max="2304" width="10.42578125" bestFit="1" customWidth="1"/>
    <col min="2305" max="2305" width="10.7109375" bestFit="1" customWidth="1"/>
    <col min="2306" max="2306" width="14.7109375" bestFit="1" customWidth="1"/>
    <col min="2307" max="2310" width="11.5703125" bestFit="1" customWidth="1"/>
    <col min="2311" max="2311" width="10.7109375" bestFit="1" customWidth="1"/>
    <col min="2312" max="2312" width="11.28515625" customWidth="1"/>
    <col min="2313" max="2313" width="11.28515625" bestFit="1" customWidth="1"/>
    <col min="2314" max="2316" width="11.5703125" bestFit="1" customWidth="1"/>
    <col min="2317" max="2317" width="3.42578125" bestFit="1" customWidth="1"/>
    <col min="2318" max="2318" width="11.5703125" bestFit="1" customWidth="1"/>
    <col min="2319" max="2319" width="7.7109375" bestFit="1" customWidth="1"/>
    <col min="2320" max="2320" width="4.7109375" bestFit="1" customWidth="1"/>
    <col min="2321" max="2321" width="5.7109375" customWidth="1"/>
    <col min="2322" max="2322" width="5.28515625" bestFit="1" customWidth="1"/>
    <col min="2323" max="2323" width="17.42578125" bestFit="1" customWidth="1"/>
    <col min="2324" max="2324" width="13" bestFit="1" customWidth="1"/>
    <col min="2325" max="2325" width="24.5703125" bestFit="1" customWidth="1"/>
    <col min="2326" max="2326" width="37.42578125" bestFit="1" customWidth="1"/>
    <col min="2327" max="2327" width="30.7109375" bestFit="1" customWidth="1"/>
    <col min="2328" max="2328" width="21.28515625" bestFit="1" customWidth="1"/>
    <col min="2329" max="2329" width="25.5703125" bestFit="1" customWidth="1"/>
    <col min="2330" max="2330" width="30" bestFit="1" customWidth="1"/>
    <col min="2331" max="2331" width="31.28515625" bestFit="1" customWidth="1"/>
    <col min="2332" max="2332" width="21.7109375" bestFit="1" customWidth="1"/>
    <col min="2333" max="2334" width="21.28515625" bestFit="1" customWidth="1"/>
    <col min="2335" max="2335" width="20.28515625" bestFit="1" customWidth="1"/>
    <col min="2556" max="2556" width="3.7109375" bestFit="1" customWidth="1"/>
    <col min="2557" max="2557" width="5.28515625" bestFit="1" customWidth="1"/>
    <col min="2558" max="2558" width="30.28515625" bestFit="1" customWidth="1"/>
    <col min="2559" max="2559" width="11.5703125" bestFit="1" customWidth="1"/>
    <col min="2560" max="2560" width="10.42578125" bestFit="1" customWidth="1"/>
    <col min="2561" max="2561" width="10.7109375" bestFit="1" customWidth="1"/>
    <col min="2562" max="2562" width="14.7109375" bestFit="1" customWidth="1"/>
    <col min="2563" max="2566" width="11.5703125" bestFit="1" customWidth="1"/>
    <col min="2567" max="2567" width="10.7109375" bestFit="1" customWidth="1"/>
    <col min="2568" max="2568" width="11.28515625" customWidth="1"/>
    <col min="2569" max="2569" width="11.28515625" bestFit="1" customWidth="1"/>
    <col min="2570" max="2572" width="11.5703125" bestFit="1" customWidth="1"/>
    <col min="2573" max="2573" width="3.42578125" bestFit="1" customWidth="1"/>
    <col min="2574" max="2574" width="11.5703125" bestFit="1" customWidth="1"/>
    <col min="2575" max="2575" width="7.7109375" bestFit="1" customWidth="1"/>
    <col min="2576" max="2576" width="4.7109375" bestFit="1" customWidth="1"/>
    <col min="2577" max="2577" width="5.7109375" customWidth="1"/>
    <col min="2578" max="2578" width="5.28515625" bestFit="1" customWidth="1"/>
    <col min="2579" max="2579" width="17.42578125" bestFit="1" customWidth="1"/>
    <col min="2580" max="2580" width="13" bestFit="1" customWidth="1"/>
    <col min="2581" max="2581" width="24.5703125" bestFit="1" customWidth="1"/>
    <col min="2582" max="2582" width="37.42578125" bestFit="1" customWidth="1"/>
    <col min="2583" max="2583" width="30.7109375" bestFit="1" customWidth="1"/>
    <col min="2584" max="2584" width="21.28515625" bestFit="1" customWidth="1"/>
    <col min="2585" max="2585" width="25.5703125" bestFit="1" customWidth="1"/>
    <col min="2586" max="2586" width="30" bestFit="1" customWidth="1"/>
    <col min="2587" max="2587" width="31.28515625" bestFit="1" customWidth="1"/>
    <col min="2588" max="2588" width="21.7109375" bestFit="1" customWidth="1"/>
    <col min="2589" max="2590" width="21.28515625" bestFit="1" customWidth="1"/>
    <col min="2591" max="2591" width="20.28515625" bestFit="1" customWidth="1"/>
    <col min="2812" max="2812" width="3.7109375" bestFit="1" customWidth="1"/>
    <col min="2813" max="2813" width="5.28515625" bestFit="1" customWidth="1"/>
    <col min="2814" max="2814" width="30.28515625" bestFit="1" customWidth="1"/>
    <col min="2815" max="2815" width="11.5703125" bestFit="1" customWidth="1"/>
    <col min="2816" max="2816" width="10.42578125" bestFit="1" customWidth="1"/>
    <col min="2817" max="2817" width="10.7109375" bestFit="1" customWidth="1"/>
    <col min="2818" max="2818" width="14.7109375" bestFit="1" customWidth="1"/>
    <col min="2819" max="2822" width="11.5703125" bestFit="1" customWidth="1"/>
    <col min="2823" max="2823" width="10.7109375" bestFit="1" customWidth="1"/>
    <col min="2824" max="2824" width="11.28515625" customWidth="1"/>
    <col min="2825" max="2825" width="11.28515625" bestFit="1" customWidth="1"/>
    <col min="2826" max="2828" width="11.5703125" bestFit="1" customWidth="1"/>
    <col min="2829" max="2829" width="3.42578125" bestFit="1" customWidth="1"/>
    <col min="2830" max="2830" width="11.5703125" bestFit="1" customWidth="1"/>
    <col min="2831" max="2831" width="7.7109375" bestFit="1" customWidth="1"/>
    <col min="2832" max="2832" width="4.7109375" bestFit="1" customWidth="1"/>
    <col min="2833" max="2833" width="5.7109375" customWidth="1"/>
    <col min="2834" max="2834" width="5.28515625" bestFit="1" customWidth="1"/>
    <col min="2835" max="2835" width="17.42578125" bestFit="1" customWidth="1"/>
    <col min="2836" max="2836" width="13" bestFit="1" customWidth="1"/>
    <col min="2837" max="2837" width="24.5703125" bestFit="1" customWidth="1"/>
    <col min="2838" max="2838" width="37.42578125" bestFit="1" customWidth="1"/>
    <col min="2839" max="2839" width="30.7109375" bestFit="1" customWidth="1"/>
    <col min="2840" max="2840" width="21.28515625" bestFit="1" customWidth="1"/>
    <col min="2841" max="2841" width="25.5703125" bestFit="1" customWidth="1"/>
    <col min="2842" max="2842" width="30" bestFit="1" customWidth="1"/>
    <col min="2843" max="2843" width="31.28515625" bestFit="1" customWidth="1"/>
    <col min="2844" max="2844" width="21.7109375" bestFit="1" customWidth="1"/>
    <col min="2845" max="2846" width="21.28515625" bestFit="1" customWidth="1"/>
    <col min="2847" max="2847" width="20.28515625" bestFit="1" customWidth="1"/>
    <col min="3068" max="3068" width="3.7109375" bestFit="1" customWidth="1"/>
    <col min="3069" max="3069" width="5.28515625" bestFit="1" customWidth="1"/>
    <col min="3070" max="3070" width="30.28515625" bestFit="1" customWidth="1"/>
    <col min="3071" max="3071" width="11.5703125" bestFit="1" customWidth="1"/>
    <col min="3072" max="3072" width="10.42578125" bestFit="1" customWidth="1"/>
    <col min="3073" max="3073" width="10.7109375" bestFit="1" customWidth="1"/>
    <col min="3074" max="3074" width="14.7109375" bestFit="1" customWidth="1"/>
    <col min="3075" max="3078" width="11.5703125" bestFit="1" customWidth="1"/>
    <col min="3079" max="3079" width="10.7109375" bestFit="1" customWidth="1"/>
    <col min="3080" max="3080" width="11.28515625" customWidth="1"/>
    <col min="3081" max="3081" width="11.28515625" bestFit="1" customWidth="1"/>
    <col min="3082" max="3084" width="11.5703125" bestFit="1" customWidth="1"/>
    <col min="3085" max="3085" width="3.42578125" bestFit="1" customWidth="1"/>
    <col min="3086" max="3086" width="11.5703125" bestFit="1" customWidth="1"/>
    <col min="3087" max="3087" width="7.7109375" bestFit="1" customWidth="1"/>
    <col min="3088" max="3088" width="4.7109375" bestFit="1" customWidth="1"/>
    <col min="3089" max="3089" width="5.7109375" customWidth="1"/>
    <col min="3090" max="3090" width="5.28515625" bestFit="1" customWidth="1"/>
    <col min="3091" max="3091" width="17.42578125" bestFit="1" customWidth="1"/>
    <col min="3092" max="3092" width="13" bestFit="1" customWidth="1"/>
    <col min="3093" max="3093" width="24.5703125" bestFit="1" customWidth="1"/>
    <col min="3094" max="3094" width="37.42578125" bestFit="1" customWidth="1"/>
    <col min="3095" max="3095" width="30.7109375" bestFit="1" customWidth="1"/>
    <col min="3096" max="3096" width="21.28515625" bestFit="1" customWidth="1"/>
    <col min="3097" max="3097" width="25.5703125" bestFit="1" customWidth="1"/>
    <col min="3098" max="3098" width="30" bestFit="1" customWidth="1"/>
    <col min="3099" max="3099" width="31.28515625" bestFit="1" customWidth="1"/>
    <col min="3100" max="3100" width="21.7109375" bestFit="1" customWidth="1"/>
    <col min="3101" max="3102" width="21.28515625" bestFit="1" customWidth="1"/>
    <col min="3103" max="3103" width="20.28515625" bestFit="1" customWidth="1"/>
    <col min="3324" max="3324" width="3.7109375" bestFit="1" customWidth="1"/>
    <col min="3325" max="3325" width="5.28515625" bestFit="1" customWidth="1"/>
    <col min="3326" max="3326" width="30.28515625" bestFit="1" customWidth="1"/>
    <col min="3327" max="3327" width="11.5703125" bestFit="1" customWidth="1"/>
    <col min="3328" max="3328" width="10.42578125" bestFit="1" customWidth="1"/>
    <col min="3329" max="3329" width="10.7109375" bestFit="1" customWidth="1"/>
    <col min="3330" max="3330" width="14.7109375" bestFit="1" customWidth="1"/>
    <col min="3331" max="3334" width="11.5703125" bestFit="1" customWidth="1"/>
    <col min="3335" max="3335" width="10.7109375" bestFit="1" customWidth="1"/>
    <col min="3336" max="3336" width="11.28515625" customWidth="1"/>
    <col min="3337" max="3337" width="11.28515625" bestFit="1" customWidth="1"/>
    <col min="3338" max="3340" width="11.5703125" bestFit="1" customWidth="1"/>
    <col min="3341" max="3341" width="3.42578125" bestFit="1" customWidth="1"/>
    <col min="3342" max="3342" width="11.5703125" bestFit="1" customWidth="1"/>
    <col min="3343" max="3343" width="7.7109375" bestFit="1" customWidth="1"/>
    <col min="3344" max="3344" width="4.7109375" bestFit="1" customWidth="1"/>
    <col min="3345" max="3345" width="5.7109375" customWidth="1"/>
    <col min="3346" max="3346" width="5.28515625" bestFit="1" customWidth="1"/>
    <col min="3347" max="3347" width="17.42578125" bestFit="1" customWidth="1"/>
    <col min="3348" max="3348" width="13" bestFit="1" customWidth="1"/>
    <col min="3349" max="3349" width="24.5703125" bestFit="1" customWidth="1"/>
    <col min="3350" max="3350" width="37.42578125" bestFit="1" customWidth="1"/>
    <col min="3351" max="3351" width="30.7109375" bestFit="1" customWidth="1"/>
    <col min="3352" max="3352" width="21.28515625" bestFit="1" customWidth="1"/>
    <col min="3353" max="3353" width="25.5703125" bestFit="1" customWidth="1"/>
    <col min="3354" max="3354" width="30" bestFit="1" customWidth="1"/>
    <col min="3355" max="3355" width="31.28515625" bestFit="1" customWidth="1"/>
    <col min="3356" max="3356" width="21.7109375" bestFit="1" customWidth="1"/>
    <col min="3357" max="3358" width="21.28515625" bestFit="1" customWidth="1"/>
    <col min="3359" max="3359" width="20.28515625" bestFit="1" customWidth="1"/>
    <col min="3580" max="3580" width="3.7109375" bestFit="1" customWidth="1"/>
    <col min="3581" max="3581" width="5.28515625" bestFit="1" customWidth="1"/>
    <col min="3582" max="3582" width="30.28515625" bestFit="1" customWidth="1"/>
    <col min="3583" max="3583" width="11.5703125" bestFit="1" customWidth="1"/>
    <col min="3584" max="3584" width="10.42578125" bestFit="1" customWidth="1"/>
    <col min="3585" max="3585" width="10.7109375" bestFit="1" customWidth="1"/>
    <col min="3586" max="3586" width="14.7109375" bestFit="1" customWidth="1"/>
    <col min="3587" max="3590" width="11.5703125" bestFit="1" customWidth="1"/>
    <col min="3591" max="3591" width="10.7109375" bestFit="1" customWidth="1"/>
    <col min="3592" max="3592" width="11.28515625" customWidth="1"/>
    <col min="3593" max="3593" width="11.28515625" bestFit="1" customWidth="1"/>
    <col min="3594" max="3596" width="11.5703125" bestFit="1" customWidth="1"/>
    <col min="3597" max="3597" width="3.42578125" bestFit="1" customWidth="1"/>
    <col min="3598" max="3598" width="11.5703125" bestFit="1" customWidth="1"/>
    <col min="3599" max="3599" width="7.7109375" bestFit="1" customWidth="1"/>
    <col min="3600" max="3600" width="4.7109375" bestFit="1" customWidth="1"/>
    <col min="3601" max="3601" width="5.7109375" customWidth="1"/>
    <col min="3602" max="3602" width="5.28515625" bestFit="1" customWidth="1"/>
    <col min="3603" max="3603" width="17.42578125" bestFit="1" customWidth="1"/>
    <col min="3604" max="3604" width="13" bestFit="1" customWidth="1"/>
    <col min="3605" max="3605" width="24.5703125" bestFit="1" customWidth="1"/>
    <col min="3606" max="3606" width="37.42578125" bestFit="1" customWidth="1"/>
    <col min="3607" max="3607" width="30.7109375" bestFit="1" customWidth="1"/>
    <col min="3608" max="3608" width="21.28515625" bestFit="1" customWidth="1"/>
    <col min="3609" max="3609" width="25.5703125" bestFit="1" customWidth="1"/>
    <col min="3610" max="3610" width="30" bestFit="1" customWidth="1"/>
    <col min="3611" max="3611" width="31.28515625" bestFit="1" customWidth="1"/>
    <col min="3612" max="3612" width="21.7109375" bestFit="1" customWidth="1"/>
    <col min="3613" max="3614" width="21.28515625" bestFit="1" customWidth="1"/>
    <col min="3615" max="3615" width="20.28515625" bestFit="1" customWidth="1"/>
    <col min="3836" max="3836" width="3.7109375" bestFit="1" customWidth="1"/>
    <col min="3837" max="3837" width="5.28515625" bestFit="1" customWidth="1"/>
    <col min="3838" max="3838" width="30.28515625" bestFit="1" customWidth="1"/>
    <col min="3839" max="3839" width="11.5703125" bestFit="1" customWidth="1"/>
    <col min="3840" max="3840" width="10.42578125" bestFit="1" customWidth="1"/>
    <col min="3841" max="3841" width="10.7109375" bestFit="1" customWidth="1"/>
    <col min="3842" max="3842" width="14.7109375" bestFit="1" customWidth="1"/>
    <col min="3843" max="3846" width="11.5703125" bestFit="1" customWidth="1"/>
    <col min="3847" max="3847" width="10.7109375" bestFit="1" customWidth="1"/>
    <col min="3848" max="3848" width="11.28515625" customWidth="1"/>
    <col min="3849" max="3849" width="11.28515625" bestFit="1" customWidth="1"/>
    <col min="3850" max="3852" width="11.5703125" bestFit="1" customWidth="1"/>
    <col min="3853" max="3853" width="3.42578125" bestFit="1" customWidth="1"/>
    <col min="3854" max="3854" width="11.5703125" bestFit="1" customWidth="1"/>
    <col min="3855" max="3855" width="7.7109375" bestFit="1" customWidth="1"/>
    <col min="3856" max="3856" width="4.7109375" bestFit="1" customWidth="1"/>
    <col min="3857" max="3857" width="5.7109375" customWidth="1"/>
    <col min="3858" max="3858" width="5.28515625" bestFit="1" customWidth="1"/>
    <col min="3859" max="3859" width="17.42578125" bestFit="1" customWidth="1"/>
    <col min="3860" max="3860" width="13" bestFit="1" customWidth="1"/>
    <col min="3861" max="3861" width="24.5703125" bestFit="1" customWidth="1"/>
    <col min="3862" max="3862" width="37.42578125" bestFit="1" customWidth="1"/>
    <col min="3863" max="3863" width="30.7109375" bestFit="1" customWidth="1"/>
    <col min="3864" max="3864" width="21.28515625" bestFit="1" customWidth="1"/>
    <col min="3865" max="3865" width="25.5703125" bestFit="1" customWidth="1"/>
    <col min="3866" max="3866" width="30" bestFit="1" customWidth="1"/>
    <col min="3867" max="3867" width="31.28515625" bestFit="1" customWidth="1"/>
    <col min="3868" max="3868" width="21.7109375" bestFit="1" customWidth="1"/>
    <col min="3869" max="3870" width="21.28515625" bestFit="1" customWidth="1"/>
    <col min="3871" max="3871" width="20.28515625" bestFit="1" customWidth="1"/>
    <col min="4092" max="4092" width="3.7109375" bestFit="1" customWidth="1"/>
    <col min="4093" max="4093" width="5.28515625" bestFit="1" customWidth="1"/>
    <col min="4094" max="4094" width="30.28515625" bestFit="1" customWidth="1"/>
    <col min="4095" max="4095" width="11.5703125" bestFit="1" customWidth="1"/>
    <col min="4096" max="4096" width="10.42578125" bestFit="1" customWidth="1"/>
    <col min="4097" max="4097" width="10.7109375" bestFit="1" customWidth="1"/>
    <col min="4098" max="4098" width="14.7109375" bestFit="1" customWidth="1"/>
    <col min="4099" max="4102" width="11.5703125" bestFit="1" customWidth="1"/>
    <col min="4103" max="4103" width="10.7109375" bestFit="1" customWidth="1"/>
    <col min="4104" max="4104" width="11.28515625" customWidth="1"/>
    <col min="4105" max="4105" width="11.28515625" bestFit="1" customWidth="1"/>
    <col min="4106" max="4108" width="11.5703125" bestFit="1" customWidth="1"/>
    <col min="4109" max="4109" width="3.42578125" bestFit="1" customWidth="1"/>
    <col min="4110" max="4110" width="11.5703125" bestFit="1" customWidth="1"/>
    <col min="4111" max="4111" width="7.7109375" bestFit="1" customWidth="1"/>
    <col min="4112" max="4112" width="4.7109375" bestFit="1" customWidth="1"/>
    <col min="4113" max="4113" width="5.7109375" customWidth="1"/>
    <col min="4114" max="4114" width="5.28515625" bestFit="1" customWidth="1"/>
    <col min="4115" max="4115" width="17.42578125" bestFit="1" customWidth="1"/>
    <col min="4116" max="4116" width="13" bestFit="1" customWidth="1"/>
    <col min="4117" max="4117" width="24.5703125" bestFit="1" customWidth="1"/>
    <col min="4118" max="4118" width="37.42578125" bestFit="1" customWidth="1"/>
    <col min="4119" max="4119" width="30.7109375" bestFit="1" customWidth="1"/>
    <col min="4120" max="4120" width="21.28515625" bestFit="1" customWidth="1"/>
    <col min="4121" max="4121" width="25.5703125" bestFit="1" customWidth="1"/>
    <col min="4122" max="4122" width="30" bestFit="1" customWidth="1"/>
    <col min="4123" max="4123" width="31.28515625" bestFit="1" customWidth="1"/>
    <col min="4124" max="4124" width="21.7109375" bestFit="1" customWidth="1"/>
    <col min="4125" max="4126" width="21.28515625" bestFit="1" customWidth="1"/>
    <col min="4127" max="4127" width="20.28515625" bestFit="1" customWidth="1"/>
    <col min="4348" max="4348" width="3.7109375" bestFit="1" customWidth="1"/>
    <col min="4349" max="4349" width="5.28515625" bestFit="1" customWidth="1"/>
    <col min="4350" max="4350" width="30.28515625" bestFit="1" customWidth="1"/>
    <col min="4351" max="4351" width="11.5703125" bestFit="1" customWidth="1"/>
    <col min="4352" max="4352" width="10.42578125" bestFit="1" customWidth="1"/>
    <col min="4353" max="4353" width="10.7109375" bestFit="1" customWidth="1"/>
    <col min="4354" max="4354" width="14.7109375" bestFit="1" customWidth="1"/>
    <col min="4355" max="4358" width="11.5703125" bestFit="1" customWidth="1"/>
    <col min="4359" max="4359" width="10.7109375" bestFit="1" customWidth="1"/>
    <col min="4360" max="4360" width="11.28515625" customWidth="1"/>
    <col min="4361" max="4361" width="11.28515625" bestFit="1" customWidth="1"/>
    <col min="4362" max="4364" width="11.5703125" bestFit="1" customWidth="1"/>
    <col min="4365" max="4365" width="3.42578125" bestFit="1" customWidth="1"/>
    <col min="4366" max="4366" width="11.5703125" bestFit="1" customWidth="1"/>
    <col min="4367" max="4367" width="7.7109375" bestFit="1" customWidth="1"/>
    <col min="4368" max="4368" width="4.7109375" bestFit="1" customWidth="1"/>
    <col min="4369" max="4369" width="5.7109375" customWidth="1"/>
    <col min="4370" max="4370" width="5.28515625" bestFit="1" customWidth="1"/>
    <col min="4371" max="4371" width="17.42578125" bestFit="1" customWidth="1"/>
    <col min="4372" max="4372" width="13" bestFit="1" customWidth="1"/>
    <col min="4373" max="4373" width="24.5703125" bestFit="1" customWidth="1"/>
    <col min="4374" max="4374" width="37.42578125" bestFit="1" customWidth="1"/>
    <col min="4375" max="4375" width="30.7109375" bestFit="1" customWidth="1"/>
    <col min="4376" max="4376" width="21.28515625" bestFit="1" customWidth="1"/>
    <col min="4377" max="4377" width="25.5703125" bestFit="1" customWidth="1"/>
    <col min="4378" max="4378" width="30" bestFit="1" customWidth="1"/>
    <col min="4379" max="4379" width="31.28515625" bestFit="1" customWidth="1"/>
    <col min="4380" max="4380" width="21.7109375" bestFit="1" customWidth="1"/>
    <col min="4381" max="4382" width="21.28515625" bestFit="1" customWidth="1"/>
    <col min="4383" max="4383" width="20.28515625" bestFit="1" customWidth="1"/>
    <col min="4604" max="4604" width="3.7109375" bestFit="1" customWidth="1"/>
    <col min="4605" max="4605" width="5.28515625" bestFit="1" customWidth="1"/>
    <col min="4606" max="4606" width="30.28515625" bestFit="1" customWidth="1"/>
    <col min="4607" max="4607" width="11.5703125" bestFit="1" customWidth="1"/>
    <col min="4608" max="4608" width="10.42578125" bestFit="1" customWidth="1"/>
    <col min="4609" max="4609" width="10.7109375" bestFit="1" customWidth="1"/>
    <col min="4610" max="4610" width="14.7109375" bestFit="1" customWidth="1"/>
    <col min="4611" max="4614" width="11.5703125" bestFit="1" customWidth="1"/>
    <col min="4615" max="4615" width="10.7109375" bestFit="1" customWidth="1"/>
    <col min="4616" max="4616" width="11.28515625" customWidth="1"/>
    <col min="4617" max="4617" width="11.28515625" bestFit="1" customWidth="1"/>
    <col min="4618" max="4620" width="11.5703125" bestFit="1" customWidth="1"/>
    <col min="4621" max="4621" width="3.42578125" bestFit="1" customWidth="1"/>
    <col min="4622" max="4622" width="11.5703125" bestFit="1" customWidth="1"/>
    <col min="4623" max="4623" width="7.7109375" bestFit="1" customWidth="1"/>
    <col min="4624" max="4624" width="4.7109375" bestFit="1" customWidth="1"/>
    <col min="4625" max="4625" width="5.7109375" customWidth="1"/>
    <col min="4626" max="4626" width="5.28515625" bestFit="1" customWidth="1"/>
    <col min="4627" max="4627" width="17.42578125" bestFit="1" customWidth="1"/>
    <col min="4628" max="4628" width="13" bestFit="1" customWidth="1"/>
    <col min="4629" max="4629" width="24.5703125" bestFit="1" customWidth="1"/>
    <col min="4630" max="4630" width="37.42578125" bestFit="1" customWidth="1"/>
    <col min="4631" max="4631" width="30.7109375" bestFit="1" customWidth="1"/>
    <col min="4632" max="4632" width="21.28515625" bestFit="1" customWidth="1"/>
    <col min="4633" max="4633" width="25.5703125" bestFit="1" customWidth="1"/>
    <col min="4634" max="4634" width="30" bestFit="1" customWidth="1"/>
    <col min="4635" max="4635" width="31.28515625" bestFit="1" customWidth="1"/>
    <col min="4636" max="4636" width="21.7109375" bestFit="1" customWidth="1"/>
    <col min="4637" max="4638" width="21.28515625" bestFit="1" customWidth="1"/>
    <col min="4639" max="4639" width="20.28515625" bestFit="1" customWidth="1"/>
    <col min="4860" max="4860" width="3.7109375" bestFit="1" customWidth="1"/>
    <col min="4861" max="4861" width="5.28515625" bestFit="1" customWidth="1"/>
    <col min="4862" max="4862" width="30.28515625" bestFit="1" customWidth="1"/>
    <col min="4863" max="4863" width="11.5703125" bestFit="1" customWidth="1"/>
    <col min="4864" max="4864" width="10.42578125" bestFit="1" customWidth="1"/>
    <col min="4865" max="4865" width="10.7109375" bestFit="1" customWidth="1"/>
    <col min="4866" max="4866" width="14.7109375" bestFit="1" customWidth="1"/>
    <col min="4867" max="4870" width="11.5703125" bestFit="1" customWidth="1"/>
    <col min="4871" max="4871" width="10.7109375" bestFit="1" customWidth="1"/>
    <col min="4872" max="4872" width="11.28515625" customWidth="1"/>
    <col min="4873" max="4873" width="11.28515625" bestFit="1" customWidth="1"/>
    <col min="4874" max="4876" width="11.5703125" bestFit="1" customWidth="1"/>
    <col min="4877" max="4877" width="3.42578125" bestFit="1" customWidth="1"/>
    <col min="4878" max="4878" width="11.5703125" bestFit="1" customWidth="1"/>
    <col min="4879" max="4879" width="7.7109375" bestFit="1" customWidth="1"/>
    <col min="4880" max="4880" width="4.7109375" bestFit="1" customWidth="1"/>
    <col min="4881" max="4881" width="5.7109375" customWidth="1"/>
    <col min="4882" max="4882" width="5.28515625" bestFit="1" customWidth="1"/>
    <col min="4883" max="4883" width="17.42578125" bestFit="1" customWidth="1"/>
    <col min="4884" max="4884" width="13" bestFit="1" customWidth="1"/>
    <col min="4885" max="4885" width="24.5703125" bestFit="1" customWidth="1"/>
    <col min="4886" max="4886" width="37.42578125" bestFit="1" customWidth="1"/>
    <col min="4887" max="4887" width="30.7109375" bestFit="1" customWidth="1"/>
    <col min="4888" max="4888" width="21.28515625" bestFit="1" customWidth="1"/>
    <col min="4889" max="4889" width="25.5703125" bestFit="1" customWidth="1"/>
    <col min="4890" max="4890" width="30" bestFit="1" customWidth="1"/>
    <col min="4891" max="4891" width="31.28515625" bestFit="1" customWidth="1"/>
    <col min="4892" max="4892" width="21.7109375" bestFit="1" customWidth="1"/>
    <col min="4893" max="4894" width="21.28515625" bestFit="1" customWidth="1"/>
    <col min="4895" max="4895" width="20.28515625" bestFit="1" customWidth="1"/>
    <col min="5116" max="5116" width="3.7109375" bestFit="1" customWidth="1"/>
    <col min="5117" max="5117" width="5.28515625" bestFit="1" customWidth="1"/>
    <col min="5118" max="5118" width="30.28515625" bestFit="1" customWidth="1"/>
    <col min="5119" max="5119" width="11.5703125" bestFit="1" customWidth="1"/>
    <col min="5120" max="5120" width="10.42578125" bestFit="1" customWidth="1"/>
    <col min="5121" max="5121" width="10.7109375" bestFit="1" customWidth="1"/>
    <col min="5122" max="5122" width="14.7109375" bestFit="1" customWidth="1"/>
    <col min="5123" max="5126" width="11.5703125" bestFit="1" customWidth="1"/>
    <col min="5127" max="5127" width="10.7109375" bestFit="1" customWidth="1"/>
    <col min="5128" max="5128" width="11.28515625" customWidth="1"/>
    <col min="5129" max="5129" width="11.28515625" bestFit="1" customWidth="1"/>
    <col min="5130" max="5132" width="11.5703125" bestFit="1" customWidth="1"/>
    <col min="5133" max="5133" width="3.42578125" bestFit="1" customWidth="1"/>
    <col min="5134" max="5134" width="11.5703125" bestFit="1" customWidth="1"/>
    <col min="5135" max="5135" width="7.7109375" bestFit="1" customWidth="1"/>
    <col min="5136" max="5136" width="4.7109375" bestFit="1" customWidth="1"/>
    <col min="5137" max="5137" width="5.7109375" customWidth="1"/>
    <col min="5138" max="5138" width="5.28515625" bestFit="1" customWidth="1"/>
    <col min="5139" max="5139" width="17.42578125" bestFit="1" customWidth="1"/>
    <col min="5140" max="5140" width="13" bestFit="1" customWidth="1"/>
    <col min="5141" max="5141" width="24.5703125" bestFit="1" customWidth="1"/>
    <col min="5142" max="5142" width="37.42578125" bestFit="1" customWidth="1"/>
    <col min="5143" max="5143" width="30.7109375" bestFit="1" customWidth="1"/>
    <col min="5144" max="5144" width="21.28515625" bestFit="1" customWidth="1"/>
    <col min="5145" max="5145" width="25.5703125" bestFit="1" customWidth="1"/>
    <col min="5146" max="5146" width="30" bestFit="1" customWidth="1"/>
    <col min="5147" max="5147" width="31.28515625" bestFit="1" customWidth="1"/>
    <col min="5148" max="5148" width="21.7109375" bestFit="1" customWidth="1"/>
    <col min="5149" max="5150" width="21.28515625" bestFit="1" customWidth="1"/>
    <col min="5151" max="5151" width="20.28515625" bestFit="1" customWidth="1"/>
    <col min="5372" max="5372" width="3.7109375" bestFit="1" customWidth="1"/>
    <col min="5373" max="5373" width="5.28515625" bestFit="1" customWidth="1"/>
    <col min="5374" max="5374" width="30.28515625" bestFit="1" customWidth="1"/>
    <col min="5375" max="5375" width="11.5703125" bestFit="1" customWidth="1"/>
    <col min="5376" max="5376" width="10.42578125" bestFit="1" customWidth="1"/>
    <col min="5377" max="5377" width="10.7109375" bestFit="1" customWidth="1"/>
    <col min="5378" max="5378" width="14.7109375" bestFit="1" customWidth="1"/>
    <col min="5379" max="5382" width="11.5703125" bestFit="1" customWidth="1"/>
    <col min="5383" max="5383" width="10.7109375" bestFit="1" customWidth="1"/>
    <col min="5384" max="5384" width="11.28515625" customWidth="1"/>
    <col min="5385" max="5385" width="11.28515625" bestFit="1" customWidth="1"/>
    <col min="5386" max="5388" width="11.5703125" bestFit="1" customWidth="1"/>
    <col min="5389" max="5389" width="3.42578125" bestFit="1" customWidth="1"/>
    <col min="5390" max="5390" width="11.5703125" bestFit="1" customWidth="1"/>
    <col min="5391" max="5391" width="7.7109375" bestFit="1" customWidth="1"/>
    <col min="5392" max="5392" width="4.7109375" bestFit="1" customWidth="1"/>
    <col min="5393" max="5393" width="5.7109375" customWidth="1"/>
    <col min="5394" max="5394" width="5.28515625" bestFit="1" customWidth="1"/>
    <col min="5395" max="5395" width="17.42578125" bestFit="1" customWidth="1"/>
    <col min="5396" max="5396" width="13" bestFit="1" customWidth="1"/>
    <col min="5397" max="5397" width="24.5703125" bestFit="1" customWidth="1"/>
    <col min="5398" max="5398" width="37.42578125" bestFit="1" customWidth="1"/>
    <col min="5399" max="5399" width="30.7109375" bestFit="1" customWidth="1"/>
    <col min="5400" max="5400" width="21.28515625" bestFit="1" customWidth="1"/>
    <col min="5401" max="5401" width="25.5703125" bestFit="1" customWidth="1"/>
    <col min="5402" max="5402" width="30" bestFit="1" customWidth="1"/>
    <col min="5403" max="5403" width="31.28515625" bestFit="1" customWidth="1"/>
    <col min="5404" max="5404" width="21.7109375" bestFit="1" customWidth="1"/>
    <col min="5405" max="5406" width="21.28515625" bestFit="1" customWidth="1"/>
    <col min="5407" max="5407" width="20.28515625" bestFit="1" customWidth="1"/>
    <col min="5628" max="5628" width="3.7109375" bestFit="1" customWidth="1"/>
    <col min="5629" max="5629" width="5.28515625" bestFit="1" customWidth="1"/>
    <col min="5630" max="5630" width="30.28515625" bestFit="1" customWidth="1"/>
    <col min="5631" max="5631" width="11.5703125" bestFit="1" customWidth="1"/>
    <col min="5632" max="5632" width="10.42578125" bestFit="1" customWidth="1"/>
    <col min="5633" max="5633" width="10.7109375" bestFit="1" customWidth="1"/>
    <col min="5634" max="5634" width="14.7109375" bestFit="1" customWidth="1"/>
    <col min="5635" max="5638" width="11.5703125" bestFit="1" customWidth="1"/>
    <col min="5639" max="5639" width="10.7109375" bestFit="1" customWidth="1"/>
    <col min="5640" max="5640" width="11.28515625" customWidth="1"/>
    <col min="5641" max="5641" width="11.28515625" bestFit="1" customWidth="1"/>
    <col min="5642" max="5644" width="11.5703125" bestFit="1" customWidth="1"/>
    <col min="5645" max="5645" width="3.42578125" bestFit="1" customWidth="1"/>
    <col min="5646" max="5646" width="11.5703125" bestFit="1" customWidth="1"/>
    <col min="5647" max="5647" width="7.7109375" bestFit="1" customWidth="1"/>
    <col min="5648" max="5648" width="4.7109375" bestFit="1" customWidth="1"/>
    <col min="5649" max="5649" width="5.7109375" customWidth="1"/>
    <col min="5650" max="5650" width="5.28515625" bestFit="1" customWidth="1"/>
    <col min="5651" max="5651" width="17.42578125" bestFit="1" customWidth="1"/>
    <col min="5652" max="5652" width="13" bestFit="1" customWidth="1"/>
    <col min="5653" max="5653" width="24.5703125" bestFit="1" customWidth="1"/>
    <col min="5654" max="5654" width="37.42578125" bestFit="1" customWidth="1"/>
    <col min="5655" max="5655" width="30.7109375" bestFit="1" customWidth="1"/>
    <col min="5656" max="5656" width="21.28515625" bestFit="1" customWidth="1"/>
    <col min="5657" max="5657" width="25.5703125" bestFit="1" customWidth="1"/>
    <col min="5658" max="5658" width="30" bestFit="1" customWidth="1"/>
    <col min="5659" max="5659" width="31.28515625" bestFit="1" customWidth="1"/>
    <col min="5660" max="5660" width="21.7109375" bestFit="1" customWidth="1"/>
    <col min="5661" max="5662" width="21.28515625" bestFit="1" customWidth="1"/>
    <col min="5663" max="5663" width="20.28515625" bestFit="1" customWidth="1"/>
    <col min="5884" max="5884" width="3.7109375" bestFit="1" customWidth="1"/>
    <col min="5885" max="5885" width="5.28515625" bestFit="1" customWidth="1"/>
    <col min="5886" max="5886" width="30.28515625" bestFit="1" customWidth="1"/>
    <col min="5887" max="5887" width="11.5703125" bestFit="1" customWidth="1"/>
    <col min="5888" max="5888" width="10.42578125" bestFit="1" customWidth="1"/>
    <col min="5889" max="5889" width="10.7109375" bestFit="1" customWidth="1"/>
    <col min="5890" max="5890" width="14.7109375" bestFit="1" customWidth="1"/>
    <col min="5891" max="5894" width="11.5703125" bestFit="1" customWidth="1"/>
    <col min="5895" max="5895" width="10.7109375" bestFit="1" customWidth="1"/>
    <col min="5896" max="5896" width="11.28515625" customWidth="1"/>
    <col min="5897" max="5897" width="11.28515625" bestFit="1" customWidth="1"/>
    <col min="5898" max="5900" width="11.5703125" bestFit="1" customWidth="1"/>
    <col min="5901" max="5901" width="3.42578125" bestFit="1" customWidth="1"/>
    <col min="5902" max="5902" width="11.5703125" bestFit="1" customWidth="1"/>
    <col min="5903" max="5903" width="7.7109375" bestFit="1" customWidth="1"/>
    <col min="5904" max="5904" width="4.7109375" bestFit="1" customWidth="1"/>
    <col min="5905" max="5905" width="5.7109375" customWidth="1"/>
    <col min="5906" max="5906" width="5.28515625" bestFit="1" customWidth="1"/>
    <col min="5907" max="5907" width="17.42578125" bestFit="1" customWidth="1"/>
    <col min="5908" max="5908" width="13" bestFit="1" customWidth="1"/>
    <col min="5909" max="5909" width="24.5703125" bestFit="1" customWidth="1"/>
    <col min="5910" max="5910" width="37.42578125" bestFit="1" customWidth="1"/>
    <col min="5911" max="5911" width="30.7109375" bestFit="1" customWidth="1"/>
    <col min="5912" max="5912" width="21.28515625" bestFit="1" customWidth="1"/>
    <col min="5913" max="5913" width="25.5703125" bestFit="1" customWidth="1"/>
    <col min="5914" max="5914" width="30" bestFit="1" customWidth="1"/>
    <col min="5915" max="5915" width="31.28515625" bestFit="1" customWidth="1"/>
    <col min="5916" max="5916" width="21.7109375" bestFit="1" customWidth="1"/>
    <col min="5917" max="5918" width="21.28515625" bestFit="1" customWidth="1"/>
    <col min="5919" max="5919" width="20.28515625" bestFit="1" customWidth="1"/>
    <col min="6140" max="6140" width="3.7109375" bestFit="1" customWidth="1"/>
    <col min="6141" max="6141" width="5.28515625" bestFit="1" customWidth="1"/>
    <col min="6142" max="6142" width="30.28515625" bestFit="1" customWidth="1"/>
    <col min="6143" max="6143" width="11.5703125" bestFit="1" customWidth="1"/>
    <col min="6144" max="6144" width="10.42578125" bestFit="1" customWidth="1"/>
    <col min="6145" max="6145" width="10.7109375" bestFit="1" customWidth="1"/>
    <col min="6146" max="6146" width="14.7109375" bestFit="1" customWidth="1"/>
    <col min="6147" max="6150" width="11.5703125" bestFit="1" customWidth="1"/>
    <col min="6151" max="6151" width="10.7109375" bestFit="1" customWidth="1"/>
    <col min="6152" max="6152" width="11.28515625" customWidth="1"/>
    <col min="6153" max="6153" width="11.28515625" bestFit="1" customWidth="1"/>
    <col min="6154" max="6156" width="11.5703125" bestFit="1" customWidth="1"/>
    <col min="6157" max="6157" width="3.42578125" bestFit="1" customWidth="1"/>
    <col min="6158" max="6158" width="11.5703125" bestFit="1" customWidth="1"/>
    <col min="6159" max="6159" width="7.7109375" bestFit="1" customWidth="1"/>
    <col min="6160" max="6160" width="4.7109375" bestFit="1" customWidth="1"/>
    <col min="6161" max="6161" width="5.7109375" customWidth="1"/>
    <col min="6162" max="6162" width="5.28515625" bestFit="1" customWidth="1"/>
    <col min="6163" max="6163" width="17.42578125" bestFit="1" customWidth="1"/>
    <col min="6164" max="6164" width="13" bestFit="1" customWidth="1"/>
    <col min="6165" max="6165" width="24.5703125" bestFit="1" customWidth="1"/>
    <col min="6166" max="6166" width="37.42578125" bestFit="1" customWidth="1"/>
    <col min="6167" max="6167" width="30.7109375" bestFit="1" customWidth="1"/>
    <col min="6168" max="6168" width="21.28515625" bestFit="1" customWidth="1"/>
    <col min="6169" max="6169" width="25.5703125" bestFit="1" customWidth="1"/>
    <col min="6170" max="6170" width="30" bestFit="1" customWidth="1"/>
    <col min="6171" max="6171" width="31.28515625" bestFit="1" customWidth="1"/>
    <col min="6172" max="6172" width="21.7109375" bestFit="1" customWidth="1"/>
    <col min="6173" max="6174" width="21.28515625" bestFit="1" customWidth="1"/>
    <col min="6175" max="6175" width="20.28515625" bestFit="1" customWidth="1"/>
    <col min="6396" max="6396" width="3.7109375" bestFit="1" customWidth="1"/>
    <col min="6397" max="6397" width="5.28515625" bestFit="1" customWidth="1"/>
    <col min="6398" max="6398" width="30.28515625" bestFit="1" customWidth="1"/>
    <col min="6399" max="6399" width="11.5703125" bestFit="1" customWidth="1"/>
    <col min="6400" max="6400" width="10.42578125" bestFit="1" customWidth="1"/>
    <col min="6401" max="6401" width="10.7109375" bestFit="1" customWidth="1"/>
    <col min="6402" max="6402" width="14.7109375" bestFit="1" customWidth="1"/>
    <col min="6403" max="6406" width="11.5703125" bestFit="1" customWidth="1"/>
    <col min="6407" max="6407" width="10.7109375" bestFit="1" customWidth="1"/>
    <col min="6408" max="6408" width="11.28515625" customWidth="1"/>
    <col min="6409" max="6409" width="11.28515625" bestFit="1" customWidth="1"/>
    <col min="6410" max="6412" width="11.5703125" bestFit="1" customWidth="1"/>
    <col min="6413" max="6413" width="3.42578125" bestFit="1" customWidth="1"/>
    <col min="6414" max="6414" width="11.5703125" bestFit="1" customWidth="1"/>
    <col min="6415" max="6415" width="7.7109375" bestFit="1" customWidth="1"/>
    <col min="6416" max="6416" width="4.7109375" bestFit="1" customWidth="1"/>
    <col min="6417" max="6417" width="5.7109375" customWidth="1"/>
    <col min="6418" max="6418" width="5.28515625" bestFit="1" customWidth="1"/>
    <col min="6419" max="6419" width="17.42578125" bestFit="1" customWidth="1"/>
    <col min="6420" max="6420" width="13" bestFit="1" customWidth="1"/>
    <col min="6421" max="6421" width="24.5703125" bestFit="1" customWidth="1"/>
    <col min="6422" max="6422" width="37.42578125" bestFit="1" customWidth="1"/>
    <col min="6423" max="6423" width="30.7109375" bestFit="1" customWidth="1"/>
    <col min="6424" max="6424" width="21.28515625" bestFit="1" customWidth="1"/>
    <col min="6425" max="6425" width="25.5703125" bestFit="1" customWidth="1"/>
    <col min="6426" max="6426" width="30" bestFit="1" customWidth="1"/>
    <col min="6427" max="6427" width="31.28515625" bestFit="1" customWidth="1"/>
    <col min="6428" max="6428" width="21.7109375" bestFit="1" customWidth="1"/>
    <col min="6429" max="6430" width="21.28515625" bestFit="1" customWidth="1"/>
    <col min="6431" max="6431" width="20.28515625" bestFit="1" customWidth="1"/>
    <col min="6652" max="6652" width="3.7109375" bestFit="1" customWidth="1"/>
    <col min="6653" max="6653" width="5.28515625" bestFit="1" customWidth="1"/>
    <col min="6654" max="6654" width="30.28515625" bestFit="1" customWidth="1"/>
    <col min="6655" max="6655" width="11.5703125" bestFit="1" customWidth="1"/>
    <col min="6656" max="6656" width="10.42578125" bestFit="1" customWidth="1"/>
    <col min="6657" max="6657" width="10.7109375" bestFit="1" customWidth="1"/>
    <col min="6658" max="6658" width="14.7109375" bestFit="1" customWidth="1"/>
    <col min="6659" max="6662" width="11.5703125" bestFit="1" customWidth="1"/>
    <col min="6663" max="6663" width="10.7109375" bestFit="1" customWidth="1"/>
    <col min="6664" max="6664" width="11.28515625" customWidth="1"/>
    <col min="6665" max="6665" width="11.28515625" bestFit="1" customWidth="1"/>
    <col min="6666" max="6668" width="11.5703125" bestFit="1" customWidth="1"/>
    <col min="6669" max="6669" width="3.42578125" bestFit="1" customWidth="1"/>
    <col min="6670" max="6670" width="11.5703125" bestFit="1" customWidth="1"/>
    <col min="6671" max="6671" width="7.7109375" bestFit="1" customWidth="1"/>
    <col min="6672" max="6672" width="4.7109375" bestFit="1" customWidth="1"/>
    <col min="6673" max="6673" width="5.7109375" customWidth="1"/>
    <col min="6674" max="6674" width="5.28515625" bestFit="1" customWidth="1"/>
    <col min="6675" max="6675" width="17.42578125" bestFit="1" customWidth="1"/>
    <col min="6676" max="6676" width="13" bestFit="1" customWidth="1"/>
    <col min="6677" max="6677" width="24.5703125" bestFit="1" customWidth="1"/>
    <col min="6678" max="6678" width="37.42578125" bestFit="1" customWidth="1"/>
    <col min="6679" max="6679" width="30.7109375" bestFit="1" customWidth="1"/>
    <col min="6680" max="6680" width="21.28515625" bestFit="1" customWidth="1"/>
    <col min="6681" max="6681" width="25.5703125" bestFit="1" customWidth="1"/>
    <col min="6682" max="6682" width="30" bestFit="1" customWidth="1"/>
    <col min="6683" max="6683" width="31.28515625" bestFit="1" customWidth="1"/>
    <col min="6684" max="6684" width="21.7109375" bestFit="1" customWidth="1"/>
    <col min="6685" max="6686" width="21.28515625" bestFit="1" customWidth="1"/>
    <col min="6687" max="6687" width="20.28515625" bestFit="1" customWidth="1"/>
    <col min="6908" max="6908" width="3.7109375" bestFit="1" customWidth="1"/>
    <col min="6909" max="6909" width="5.28515625" bestFit="1" customWidth="1"/>
    <col min="6910" max="6910" width="30.28515625" bestFit="1" customWidth="1"/>
    <col min="6911" max="6911" width="11.5703125" bestFit="1" customWidth="1"/>
    <col min="6912" max="6912" width="10.42578125" bestFit="1" customWidth="1"/>
    <col min="6913" max="6913" width="10.7109375" bestFit="1" customWidth="1"/>
    <col min="6914" max="6914" width="14.7109375" bestFit="1" customWidth="1"/>
    <col min="6915" max="6918" width="11.5703125" bestFit="1" customWidth="1"/>
    <col min="6919" max="6919" width="10.7109375" bestFit="1" customWidth="1"/>
    <col min="6920" max="6920" width="11.28515625" customWidth="1"/>
    <col min="6921" max="6921" width="11.28515625" bestFit="1" customWidth="1"/>
    <col min="6922" max="6924" width="11.5703125" bestFit="1" customWidth="1"/>
    <col min="6925" max="6925" width="3.42578125" bestFit="1" customWidth="1"/>
    <col min="6926" max="6926" width="11.5703125" bestFit="1" customWidth="1"/>
    <col min="6927" max="6927" width="7.7109375" bestFit="1" customWidth="1"/>
    <col min="6928" max="6928" width="4.7109375" bestFit="1" customWidth="1"/>
    <col min="6929" max="6929" width="5.7109375" customWidth="1"/>
    <col min="6930" max="6930" width="5.28515625" bestFit="1" customWidth="1"/>
    <col min="6931" max="6931" width="17.42578125" bestFit="1" customWidth="1"/>
    <col min="6932" max="6932" width="13" bestFit="1" customWidth="1"/>
    <col min="6933" max="6933" width="24.5703125" bestFit="1" customWidth="1"/>
    <col min="6934" max="6934" width="37.42578125" bestFit="1" customWidth="1"/>
    <col min="6935" max="6935" width="30.7109375" bestFit="1" customWidth="1"/>
    <col min="6936" max="6936" width="21.28515625" bestFit="1" customWidth="1"/>
    <col min="6937" max="6937" width="25.5703125" bestFit="1" customWidth="1"/>
    <col min="6938" max="6938" width="30" bestFit="1" customWidth="1"/>
    <col min="6939" max="6939" width="31.28515625" bestFit="1" customWidth="1"/>
    <col min="6940" max="6940" width="21.7109375" bestFit="1" customWidth="1"/>
    <col min="6941" max="6942" width="21.28515625" bestFit="1" customWidth="1"/>
    <col min="6943" max="6943" width="20.28515625" bestFit="1" customWidth="1"/>
    <col min="7164" max="7164" width="3.7109375" bestFit="1" customWidth="1"/>
    <col min="7165" max="7165" width="5.28515625" bestFit="1" customWidth="1"/>
    <col min="7166" max="7166" width="30.28515625" bestFit="1" customWidth="1"/>
    <col min="7167" max="7167" width="11.5703125" bestFit="1" customWidth="1"/>
    <col min="7168" max="7168" width="10.42578125" bestFit="1" customWidth="1"/>
    <col min="7169" max="7169" width="10.7109375" bestFit="1" customWidth="1"/>
    <col min="7170" max="7170" width="14.7109375" bestFit="1" customWidth="1"/>
    <col min="7171" max="7174" width="11.5703125" bestFit="1" customWidth="1"/>
    <col min="7175" max="7175" width="10.7109375" bestFit="1" customWidth="1"/>
    <col min="7176" max="7176" width="11.28515625" customWidth="1"/>
    <col min="7177" max="7177" width="11.28515625" bestFit="1" customWidth="1"/>
    <col min="7178" max="7180" width="11.5703125" bestFit="1" customWidth="1"/>
    <col min="7181" max="7181" width="3.42578125" bestFit="1" customWidth="1"/>
    <col min="7182" max="7182" width="11.5703125" bestFit="1" customWidth="1"/>
    <col min="7183" max="7183" width="7.7109375" bestFit="1" customWidth="1"/>
    <col min="7184" max="7184" width="4.7109375" bestFit="1" customWidth="1"/>
    <col min="7185" max="7185" width="5.7109375" customWidth="1"/>
    <col min="7186" max="7186" width="5.28515625" bestFit="1" customWidth="1"/>
    <col min="7187" max="7187" width="17.42578125" bestFit="1" customWidth="1"/>
    <col min="7188" max="7188" width="13" bestFit="1" customWidth="1"/>
    <col min="7189" max="7189" width="24.5703125" bestFit="1" customWidth="1"/>
    <col min="7190" max="7190" width="37.42578125" bestFit="1" customWidth="1"/>
    <col min="7191" max="7191" width="30.7109375" bestFit="1" customWidth="1"/>
    <col min="7192" max="7192" width="21.28515625" bestFit="1" customWidth="1"/>
    <col min="7193" max="7193" width="25.5703125" bestFit="1" customWidth="1"/>
    <col min="7194" max="7194" width="30" bestFit="1" customWidth="1"/>
    <col min="7195" max="7195" width="31.28515625" bestFit="1" customWidth="1"/>
    <col min="7196" max="7196" width="21.7109375" bestFit="1" customWidth="1"/>
    <col min="7197" max="7198" width="21.28515625" bestFit="1" customWidth="1"/>
    <col min="7199" max="7199" width="20.28515625" bestFit="1" customWidth="1"/>
    <col min="7420" max="7420" width="3.7109375" bestFit="1" customWidth="1"/>
    <col min="7421" max="7421" width="5.28515625" bestFit="1" customWidth="1"/>
    <col min="7422" max="7422" width="30.28515625" bestFit="1" customWidth="1"/>
    <col min="7423" max="7423" width="11.5703125" bestFit="1" customWidth="1"/>
    <col min="7424" max="7424" width="10.42578125" bestFit="1" customWidth="1"/>
    <col min="7425" max="7425" width="10.7109375" bestFit="1" customWidth="1"/>
    <col min="7426" max="7426" width="14.7109375" bestFit="1" customWidth="1"/>
    <col min="7427" max="7430" width="11.5703125" bestFit="1" customWidth="1"/>
    <col min="7431" max="7431" width="10.7109375" bestFit="1" customWidth="1"/>
    <col min="7432" max="7432" width="11.28515625" customWidth="1"/>
    <col min="7433" max="7433" width="11.28515625" bestFit="1" customWidth="1"/>
    <col min="7434" max="7436" width="11.5703125" bestFit="1" customWidth="1"/>
    <col min="7437" max="7437" width="3.42578125" bestFit="1" customWidth="1"/>
    <col min="7438" max="7438" width="11.5703125" bestFit="1" customWidth="1"/>
    <col min="7439" max="7439" width="7.7109375" bestFit="1" customWidth="1"/>
    <col min="7440" max="7440" width="4.7109375" bestFit="1" customWidth="1"/>
    <col min="7441" max="7441" width="5.7109375" customWidth="1"/>
    <col min="7442" max="7442" width="5.28515625" bestFit="1" customWidth="1"/>
    <col min="7443" max="7443" width="17.42578125" bestFit="1" customWidth="1"/>
    <col min="7444" max="7444" width="13" bestFit="1" customWidth="1"/>
    <col min="7445" max="7445" width="24.5703125" bestFit="1" customWidth="1"/>
    <col min="7446" max="7446" width="37.42578125" bestFit="1" customWidth="1"/>
    <col min="7447" max="7447" width="30.7109375" bestFit="1" customWidth="1"/>
    <col min="7448" max="7448" width="21.28515625" bestFit="1" customWidth="1"/>
    <col min="7449" max="7449" width="25.5703125" bestFit="1" customWidth="1"/>
    <col min="7450" max="7450" width="30" bestFit="1" customWidth="1"/>
    <col min="7451" max="7451" width="31.28515625" bestFit="1" customWidth="1"/>
    <col min="7452" max="7452" width="21.7109375" bestFit="1" customWidth="1"/>
    <col min="7453" max="7454" width="21.28515625" bestFit="1" customWidth="1"/>
    <col min="7455" max="7455" width="20.28515625" bestFit="1" customWidth="1"/>
    <col min="7676" max="7676" width="3.7109375" bestFit="1" customWidth="1"/>
    <col min="7677" max="7677" width="5.28515625" bestFit="1" customWidth="1"/>
    <col min="7678" max="7678" width="30.28515625" bestFit="1" customWidth="1"/>
    <col min="7679" max="7679" width="11.5703125" bestFit="1" customWidth="1"/>
    <col min="7680" max="7680" width="10.42578125" bestFit="1" customWidth="1"/>
    <col min="7681" max="7681" width="10.7109375" bestFit="1" customWidth="1"/>
    <col min="7682" max="7682" width="14.7109375" bestFit="1" customWidth="1"/>
    <col min="7683" max="7686" width="11.5703125" bestFit="1" customWidth="1"/>
    <col min="7687" max="7687" width="10.7109375" bestFit="1" customWidth="1"/>
    <col min="7688" max="7688" width="11.28515625" customWidth="1"/>
    <col min="7689" max="7689" width="11.28515625" bestFit="1" customWidth="1"/>
    <col min="7690" max="7692" width="11.5703125" bestFit="1" customWidth="1"/>
    <col min="7693" max="7693" width="3.42578125" bestFit="1" customWidth="1"/>
    <col min="7694" max="7694" width="11.5703125" bestFit="1" customWidth="1"/>
    <col min="7695" max="7695" width="7.7109375" bestFit="1" customWidth="1"/>
    <col min="7696" max="7696" width="4.7109375" bestFit="1" customWidth="1"/>
    <col min="7697" max="7697" width="5.7109375" customWidth="1"/>
    <col min="7698" max="7698" width="5.28515625" bestFit="1" customWidth="1"/>
    <col min="7699" max="7699" width="17.42578125" bestFit="1" customWidth="1"/>
    <col min="7700" max="7700" width="13" bestFit="1" customWidth="1"/>
    <col min="7701" max="7701" width="24.5703125" bestFit="1" customWidth="1"/>
    <col min="7702" max="7702" width="37.42578125" bestFit="1" customWidth="1"/>
    <col min="7703" max="7703" width="30.7109375" bestFit="1" customWidth="1"/>
    <col min="7704" max="7704" width="21.28515625" bestFit="1" customWidth="1"/>
    <col min="7705" max="7705" width="25.5703125" bestFit="1" customWidth="1"/>
    <col min="7706" max="7706" width="30" bestFit="1" customWidth="1"/>
    <col min="7707" max="7707" width="31.28515625" bestFit="1" customWidth="1"/>
    <col min="7708" max="7708" width="21.7109375" bestFit="1" customWidth="1"/>
    <col min="7709" max="7710" width="21.28515625" bestFit="1" customWidth="1"/>
    <col min="7711" max="7711" width="20.28515625" bestFit="1" customWidth="1"/>
    <col min="7932" max="7932" width="3.7109375" bestFit="1" customWidth="1"/>
    <col min="7933" max="7933" width="5.28515625" bestFit="1" customWidth="1"/>
    <col min="7934" max="7934" width="30.28515625" bestFit="1" customWidth="1"/>
    <col min="7935" max="7935" width="11.5703125" bestFit="1" customWidth="1"/>
    <col min="7936" max="7936" width="10.42578125" bestFit="1" customWidth="1"/>
    <col min="7937" max="7937" width="10.7109375" bestFit="1" customWidth="1"/>
    <col min="7938" max="7938" width="14.7109375" bestFit="1" customWidth="1"/>
    <col min="7939" max="7942" width="11.5703125" bestFit="1" customWidth="1"/>
    <col min="7943" max="7943" width="10.7109375" bestFit="1" customWidth="1"/>
    <col min="7944" max="7944" width="11.28515625" customWidth="1"/>
    <col min="7945" max="7945" width="11.28515625" bestFit="1" customWidth="1"/>
    <col min="7946" max="7948" width="11.5703125" bestFit="1" customWidth="1"/>
    <col min="7949" max="7949" width="3.42578125" bestFit="1" customWidth="1"/>
    <col min="7950" max="7950" width="11.5703125" bestFit="1" customWidth="1"/>
    <col min="7951" max="7951" width="7.7109375" bestFit="1" customWidth="1"/>
    <col min="7952" max="7952" width="4.7109375" bestFit="1" customWidth="1"/>
    <col min="7953" max="7953" width="5.7109375" customWidth="1"/>
    <col min="7954" max="7954" width="5.28515625" bestFit="1" customWidth="1"/>
    <col min="7955" max="7955" width="17.42578125" bestFit="1" customWidth="1"/>
    <col min="7956" max="7956" width="13" bestFit="1" customWidth="1"/>
    <col min="7957" max="7957" width="24.5703125" bestFit="1" customWidth="1"/>
    <col min="7958" max="7958" width="37.42578125" bestFit="1" customWidth="1"/>
    <col min="7959" max="7959" width="30.7109375" bestFit="1" customWidth="1"/>
    <col min="7960" max="7960" width="21.28515625" bestFit="1" customWidth="1"/>
    <col min="7961" max="7961" width="25.5703125" bestFit="1" customWidth="1"/>
    <col min="7962" max="7962" width="30" bestFit="1" customWidth="1"/>
    <col min="7963" max="7963" width="31.28515625" bestFit="1" customWidth="1"/>
    <col min="7964" max="7964" width="21.7109375" bestFit="1" customWidth="1"/>
    <col min="7965" max="7966" width="21.28515625" bestFit="1" customWidth="1"/>
    <col min="7967" max="7967" width="20.28515625" bestFit="1" customWidth="1"/>
    <col min="8188" max="8188" width="3.7109375" bestFit="1" customWidth="1"/>
    <col min="8189" max="8189" width="5.28515625" bestFit="1" customWidth="1"/>
    <col min="8190" max="8190" width="30.28515625" bestFit="1" customWidth="1"/>
    <col min="8191" max="8191" width="11.5703125" bestFit="1" customWidth="1"/>
    <col min="8192" max="8192" width="10.42578125" bestFit="1" customWidth="1"/>
    <col min="8193" max="8193" width="10.7109375" bestFit="1" customWidth="1"/>
    <col min="8194" max="8194" width="14.7109375" bestFit="1" customWidth="1"/>
    <col min="8195" max="8198" width="11.5703125" bestFit="1" customWidth="1"/>
    <col min="8199" max="8199" width="10.7109375" bestFit="1" customWidth="1"/>
    <col min="8200" max="8200" width="11.28515625" customWidth="1"/>
    <col min="8201" max="8201" width="11.28515625" bestFit="1" customWidth="1"/>
    <col min="8202" max="8204" width="11.5703125" bestFit="1" customWidth="1"/>
    <col min="8205" max="8205" width="3.42578125" bestFit="1" customWidth="1"/>
    <col min="8206" max="8206" width="11.5703125" bestFit="1" customWidth="1"/>
    <col min="8207" max="8207" width="7.7109375" bestFit="1" customWidth="1"/>
    <col min="8208" max="8208" width="4.7109375" bestFit="1" customWidth="1"/>
    <col min="8209" max="8209" width="5.7109375" customWidth="1"/>
    <col min="8210" max="8210" width="5.28515625" bestFit="1" customWidth="1"/>
    <col min="8211" max="8211" width="17.42578125" bestFit="1" customWidth="1"/>
    <col min="8212" max="8212" width="13" bestFit="1" customWidth="1"/>
    <col min="8213" max="8213" width="24.5703125" bestFit="1" customWidth="1"/>
    <col min="8214" max="8214" width="37.42578125" bestFit="1" customWidth="1"/>
    <col min="8215" max="8215" width="30.7109375" bestFit="1" customWidth="1"/>
    <col min="8216" max="8216" width="21.28515625" bestFit="1" customWidth="1"/>
    <col min="8217" max="8217" width="25.5703125" bestFit="1" customWidth="1"/>
    <col min="8218" max="8218" width="30" bestFit="1" customWidth="1"/>
    <col min="8219" max="8219" width="31.28515625" bestFit="1" customWidth="1"/>
    <col min="8220" max="8220" width="21.7109375" bestFit="1" customWidth="1"/>
    <col min="8221" max="8222" width="21.28515625" bestFit="1" customWidth="1"/>
    <col min="8223" max="8223" width="20.28515625" bestFit="1" customWidth="1"/>
    <col min="8444" max="8444" width="3.7109375" bestFit="1" customWidth="1"/>
    <col min="8445" max="8445" width="5.28515625" bestFit="1" customWidth="1"/>
    <col min="8446" max="8446" width="30.28515625" bestFit="1" customWidth="1"/>
    <col min="8447" max="8447" width="11.5703125" bestFit="1" customWidth="1"/>
    <col min="8448" max="8448" width="10.42578125" bestFit="1" customWidth="1"/>
    <col min="8449" max="8449" width="10.7109375" bestFit="1" customWidth="1"/>
    <col min="8450" max="8450" width="14.7109375" bestFit="1" customWidth="1"/>
    <col min="8451" max="8454" width="11.5703125" bestFit="1" customWidth="1"/>
    <col min="8455" max="8455" width="10.7109375" bestFit="1" customWidth="1"/>
    <col min="8456" max="8456" width="11.28515625" customWidth="1"/>
    <col min="8457" max="8457" width="11.28515625" bestFit="1" customWidth="1"/>
    <col min="8458" max="8460" width="11.5703125" bestFit="1" customWidth="1"/>
    <col min="8461" max="8461" width="3.42578125" bestFit="1" customWidth="1"/>
    <col min="8462" max="8462" width="11.5703125" bestFit="1" customWidth="1"/>
    <col min="8463" max="8463" width="7.7109375" bestFit="1" customWidth="1"/>
    <col min="8464" max="8464" width="4.7109375" bestFit="1" customWidth="1"/>
    <col min="8465" max="8465" width="5.7109375" customWidth="1"/>
    <col min="8466" max="8466" width="5.28515625" bestFit="1" customWidth="1"/>
    <col min="8467" max="8467" width="17.42578125" bestFit="1" customWidth="1"/>
    <col min="8468" max="8468" width="13" bestFit="1" customWidth="1"/>
    <col min="8469" max="8469" width="24.5703125" bestFit="1" customWidth="1"/>
    <col min="8470" max="8470" width="37.42578125" bestFit="1" customWidth="1"/>
    <col min="8471" max="8471" width="30.7109375" bestFit="1" customWidth="1"/>
    <col min="8472" max="8472" width="21.28515625" bestFit="1" customWidth="1"/>
    <col min="8473" max="8473" width="25.5703125" bestFit="1" customWidth="1"/>
    <col min="8474" max="8474" width="30" bestFit="1" customWidth="1"/>
    <col min="8475" max="8475" width="31.28515625" bestFit="1" customWidth="1"/>
    <col min="8476" max="8476" width="21.7109375" bestFit="1" customWidth="1"/>
    <col min="8477" max="8478" width="21.28515625" bestFit="1" customWidth="1"/>
    <col min="8479" max="8479" width="20.28515625" bestFit="1" customWidth="1"/>
    <col min="8700" max="8700" width="3.7109375" bestFit="1" customWidth="1"/>
    <col min="8701" max="8701" width="5.28515625" bestFit="1" customWidth="1"/>
    <col min="8702" max="8702" width="30.28515625" bestFit="1" customWidth="1"/>
    <col min="8703" max="8703" width="11.5703125" bestFit="1" customWidth="1"/>
    <col min="8704" max="8704" width="10.42578125" bestFit="1" customWidth="1"/>
    <col min="8705" max="8705" width="10.7109375" bestFit="1" customWidth="1"/>
    <col min="8706" max="8706" width="14.7109375" bestFit="1" customWidth="1"/>
    <col min="8707" max="8710" width="11.5703125" bestFit="1" customWidth="1"/>
    <col min="8711" max="8711" width="10.7109375" bestFit="1" customWidth="1"/>
    <col min="8712" max="8712" width="11.28515625" customWidth="1"/>
    <col min="8713" max="8713" width="11.28515625" bestFit="1" customWidth="1"/>
    <col min="8714" max="8716" width="11.5703125" bestFit="1" customWidth="1"/>
    <col min="8717" max="8717" width="3.42578125" bestFit="1" customWidth="1"/>
    <col min="8718" max="8718" width="11.5703125" bestFit="1" customWidth="1"/>
    <col min="8719" max="8719" width="7.7109375" bestFit="1" customWidth="1"/>
    <col min="8720" max="8720" width="4.7109375" bestFit="1" customWidth="1"/>
    <col min="8721" max="8721" width="5.7109375" customWidth="1"/>
    <col min="8722" max="8722" width="5.28515625" bestFit="1" customWidth="1"/>
    <col min="8723" max="8723" width="17.42578125" bestFit="1" customWidth="1"/>
    <col min="8724" max="8724" width="13" bestFit="1" customWidth="1"/>
    <col min="8725" max="8725" width="24.5703125" bestFit="1" customWidth="1"/>
    <col min="8726" max="8726" width="37.42578125" bestFit="1" customWidth="1"/>
    <col min="8727" max="8727" width="30.7109375" bestFit="1" customWidth="1"/>
    <col min="8728" max="8728" width="21.28515625" bestFit="1" customWidth="1"/>
    <col min="8729" max="8729" width="25.5703125" bestFit="1" customWidth="1"/>
    <col min="8730" max="8730" width="30" bestFit="1" customWidth="1"/>
    <col min="8731" max="8731" width="31.28515625" bestFit="1" customWidth="1"/>
    <col min="8732" max="8732" width="21.7109375" bestFit="1" customWidth="1"/>
    <col min="8733" max="8734" width="21.28515625" bestFit="1" customWidth="1"/>
    <col min="8735" max="8735" width="20.28515625" bestFit="1" customWidth="1"/>
    <col min="8956" max="8956" width="3.7109375" bestFit="1" customWidth="1"/>
    <col min="8957" max="8957" width="5.28515625" bestFit="1" customWidth="1"/>
    <col min="8958" max="8958" width="30.28515625" bestFit="1" customWidth="1"/>
    <col min="8959" max="8959" width="11.5703125" bestFit="1" customWidth="1"/>
    <col min="8960" max="8960" width="10.42578125" bestFit="1" customWidth="1"/>
    <col min="8961" max="8961" width="10.7109375" bestFit="1" customWidth="1"/>
    <col min="8962" max="8962" width="14.7109375" bestFit="1" customWidth="1"/>
    <col min="8963" max="8966" width="11.5703125" bestFit="1" customWidth="1"/>
    <col min="8967" max="8967" width="10.7109375" bestFit="1" customWidth="1"/>
    <col min="8968" max="8968" width="11.28515625" customWidth="1"/>
    <col min="8969" max="8969" width="11.28515625" bestFit="1" customWidth="1"/>
    <col min="8970" max="8972" width="11.5703125" bestFit="1" customWidth="1"/>
    <col min="8973" max="8973" width="3.42578125" bestFit="1" customWidth="1"/>
    <col min="8974" max="8974" width="11.5703125" bestFit="1" customWidth="1"/>
    <col min="8975" max="8975" width="7.7109375" bestFit="1" customWidth="1"/>
    <col min="8976" max="8976" width="4.7109375" bestFit="1" customWidth="1"/>
    <col min="8977" max="8977" width="5.7109375" customWidth="1"/>
    <col min="8978" max="8978" width="5.28515625" bestFit="1" customWidth="1"/>
    <col min="8979" max="8979" width="17.42578125" bestFit="1" customWidth="1"/>
    <col min="8980" max="8980" width="13" bestFit="1" customWidth="1"/>
    <col min="8981" max="8981" width="24.5703125" bestFit="1" customWidth="1"/>
    <col min="8982" max="8982" width="37.42578125" bestFit="1" customWidth="1"/>
    <col min="8983" max="8983" width="30.7109375" bestFit="1" customWidth="1"/>
    <col min="8984" max="8984" width="21.28515625" bestFit="1" customWidth="1"/>
    <col min="8985" max="8985" width="25.5703125" bestFit="1" customWidth="1"/>
    <col min="8986" max="8986" width="30" bestFit="1" customWidth="1"/>
    <col min="8987" max="8987" width="31.28515625" bestFit="1" customWidth="1"/>
    <col min="8988" max="8988" width="21.7109375" bestFit="1" customWidth="1"/>
    <col min="8989" max="8990" width="21.28515625" bestFit="1" customWidth="1"/>
    <col min="8991" max="8991" width="20.28515625" bestFit="1" customWidth="1"/>
    <col min="9212" max="9212" width="3.7109375" bestFit="1" customWidth="1"/>
    <col min="9213" max="9213" width="5.28515625" bestFit="1" customWidth="1"/>
    <col min="9214" max="9214" width="30.28515625" bestFit="1" customWidth="1"/>
    <col min="9215" max="9215" width="11.5703125" bestFit="1" customWidth="1"/>
    <col min="9216" max="9216" width="10.42578125" bestFit="1" customWidth="1"/>
    <col min="9217" max="9217" width="10.7109375" bestFit="1" customWidth="1"/>
    <col min="9218" max="9218" width="14.7109375" bestFit="1" customWidth="1"/>
    <col min="9219" max="9222" width="11.5703125" bestFit="1" customWidth="1"/>
    <col min="9223" max="9223" width="10.7109375" bestFit="1" customWidth="1"/>
    <col min="9224" max="9224" width="11.28515625" customWidth="1"/>
    <col min="9225" max="9225" width="11.28515625" bestFit="1" customWidth="1"/>
    <col min="9226" max="9228" width="11.5703125" bestFit="1" customWidth="1"/>
    <col min="9229" max="9229" width="3.42578125" bestFit="1" customWidth="1"/>
    <col min="9230" max="9230" width="11.5703125" bestFit="1" customWidth="1"/>
    <col min="9231" max="9231" width="7.7109375" bestFit="1" customWidth="1"/>
    <col min="9232" max="9232" width="4.7109375" bestFit="1" customWidth="1"/>
    <col min="9233" max="9233" width="5.7109375" customWidth="1"/>
    <col min="9234" max="9234" width="5.28515625" bestFit="1" customWidth="1"/>
    <col min="9235" max="9235" width="17.42578125" bestFit="1" customWidth="1"/>
    <col min="9236" max="9236" width="13" bestFit="1" customWidth="1"/>
    <col min="9237" max="9237" width="24.5703125" bestFit="1" customWidth="1"/>
    <col min="9238" max="9238" width="37.42578125" bestFit="1" customWidth="1"/>
    <col min="9239" max="9239" width="30.7109375" bestFit="1" customWidth="1"/>
    <col min="9240" max="9240" width="21.28515625" bestFit="1" customWidth="1"/>
    <col min="9241" max="9241" width="25.5703125" bestFit="1" customWidth="1"/>
    <col min="9242" max="9242" width="30" bestFit="1" customWidth="1"/>
    <col min="9243" max="9243" width="31.28515625" bestFit="1" customWidth="1"/>
    <col min="9244" max="9244" width="21.7109375" bestFit="1" customWidth="1"/>
    <col min="9245" max="9246" width="21.28515625" bestFit="1" customWidth="1"/>
    <col min="9247" max="9247" width="20.28515625" bestFit="1" customWidth="1"/>
    <col min="9468" max="9468" width="3.7109375" bestFit="1" customWidth="1"/>
    <col min="9469" max="9469" width="5.28515625" bestFit="1" customWidth="1"/>
    <col min="9470" max="9470" width="30.28515625" bestFit="1" customWidth="1"/>
    <col min="9471" max="9471" width="11.5703125" bestFit="1" customWidth="1"/>
    <col min="9472" max="9472" width="10.42578125" bestFit="1" customWidth="1"/>
    <col min="9473" max="9473" width="10.7109375" bestFit="1" customWidth="1"/>
    <col min="9474" max="9474" width="14.7109375" bestFit="1" customWidth="1"/>
    <col min="9475" max="9478" width="11.5703125" bestFit="1" customWidth="1"/>
    <col min="9479" max="9479" width="10.7109375" bestFit="1" customWidth="1"/>
    <col min="9480" max="9480" width="11.28515625" customWidth="1"/>
    <col min="9481" max="9481" width="11.28515625" bestFit="1" customWidth="1"/>
    <col min="9482" max="9484" width="11.5703125" bestFit="1" customWidth="1"/>
    <col min="9485" max="9485" width="3.42578125" bestFit="1" customWidth="1"/>
    <col min="9486" max="9486" width="11.5703125" bestFit="1" customWidth="1"/>
    <col min="9487" max="9487" width="7.7109375" bestFit="1" customWidth="1"/>
    <col min="9488" max="9488" width="4.7109375" bestFit="1" customWidth="1"/>
    <col min="9489" max="9489" width="5.7109375" customWidth="1"/>
    <col min="9490" max="9490" width="5.28515625" bestFit="1" customWidth="1"/>
    <col min="9491" max="9491" width="17.42578125" bestFit="1" customWidth="1"/>
    <col min="9492" max="9492" width="13" bestFit="1" customWidth="1"/>
    <col min="9493" max="9493" width="24.5703125" bestFit="1" customWidth="1"/>
    <col min="9494" max="9494" width="37.42578125" bestFit="1" customWidth="1"/>
    <col min="9495" max="9495" width="30.7109375" bestFit="1" customWidth="1"/>
    <col min="9496" max="9496" width="21.28515625" bestFit="1" customWidth="1"/>
    <col min="9497" max="9497" width="25.5703125" bestFit="1" customWidth="1"/>
    <col min="9498" max="9498" width="30" bestFit="1" customWidth="1"/>
    <col min="9499" max="9499" width="31.28515625" bestFit="1" customWidth="1"/>
    <col min="9500" max="9500" width="21.7109375" bestFit="1" customWidth="1"/>
    <col min="9501" max="9502" width="21.28515625" bestFit="1" customWidth="1"/>
    <col min="9503" max="9503" width="20.28515625" bestFit="1" customWidth="1"/>
    <col min="9724" max="9724" width="3.7109375" bestFit="1" customWidth="1"/>
    <col min="9725" max="9725" width="5.28515625" bestFit="1" customWidth="1"/>
    <col min="9726" max="9726" width="30.28515625" bestFit="1" customWidth="1"/>
    <col min="9727" max="9727" width="11.5703125" bestFit="1" customWidth="1"/>
    <col min="9728" max="9728" width="10.42578125" bestFit="1" customWidth="1"/>
    <col min="9729" max="9729" width="10.7109375" bestFit="1" customWidth="1"/>
    <col min="9730" max="9730" width="14.7109375" bestFit="1" customWidth="1"/>
    <col min="9731" max="9734" width="11.5703125" bestFit="1" customWidth="1"/>
    <col min="9735" max="9735" width="10.7109375" bestFit="1" customWidth="1"/>
    <col min="9736" max="9736" width="11.28515625" customWidth="1"/>
    <col min="9737" max="9737" width="11.28515625" bestFit="1" customWidth="1"/>
    <col min="9738" max="9740" width="11.5703125" bestFit="1" customWidth="1"/>
    <col min="9741" max="9741" width="3.42578125" bestFit="1" customWidth="1"/>
    <col min="9742" max="9742" width="11.5703125" bestFit="1" customWidth="1"/>
    <col min="9743" max="9743" width="7.7109375" bestFit="1" customWidth="1"/>
    <col min="9744" max="9744" width="4.7109375" bestFit="1" customWidth="1"/>
    <col min="9745" max="9745" width="5.7109375" customWidth="1"/>
    <col min="9746" max="9746" width="5.28515625" bestFit="1" customWidth="1"/>
    <col min="9747" max="9747" width="17.42578125" bestFit="1" customWidth="1"/>
    <col min="9748" max="9748" width="13" bestFit="1" customWidth="1"/>
    <col min="9749" max="9749" width="24.5703125" bestFit="1" customWidth="1"/>
    <col min="9750" max="9750" width="37.42578125" bestFit="1" customWidth="1"/>
    <col min="9751" max="9751" width="30.7109375" bestFit="1" customWidth="1"/>
    <col min="9752" max="9752" width="21.28515625" bestFit="1" customWidth="1"/>
    <col min="9753" max="9753" width="25.5703125" bestFit="1" customWidth="1"/>
    <col min="9754" max="9754" width="30" bestFit="1" customWidth="1"/>
    <col min="9755" max="9755" width="31.28515625" bestFit="1" customWidth="1"/>
    <col min="9756" max="9756" width="21.7109375" bestFit="1" customWidth="1"/>
    <col min="9757" max="9758" width="21.28515625" bestFit="1" customWidth="1"/>
    <col min="9759" max="9759" width="20.28515625" bestFit="1" customWidth="1"/>
    <col min="9980" max="9980" width="3.7109375" bestFit="1" customWidth="1"/>
    <col min="9981" max="9981" width="5.28515625" bestFit="1" customWidth="1"/>
    <col min="9982" max="9982" width="30.28515625" bestFit="1" customWidth="1"/>
    <col min="9983" max="9983" width="11.5703125" bestFit="1" customWidth="1"/>
    <col min="9984" max="9984" width="10.42578125" bestFit="1" customWidth="1"/>
    <col min="9985" max="9985" width="10.7109375" bestFit="1" customWidth="1"/>
    <col min="9986" max="9986" width="14.7109375" bestFit="1" customWidth="1"/>
    <col min="9987" max="9990" width="11.5703125" bestFit="1" customWidth="1"/>
    <col min="9991" max="9991" width="10.7109375" bestFit="1" customWidth="1"/>
    <col min="9992" max="9992" width="11.28515625" customWidth="1"/>
    <col min="9993" max="9993" width="11.28515625" bestFit="1" customWidth="1"/>
    <col min="9994" max="9996" width="11.5703125" bestFit="1" customWidth="1"/>
    <col min="9997" max="9997" width="3.42578125" bestFit="1" customWidth="1"/>
    <col min="9998" max="9998" width="11.5703125" bestFit="1" customWidth="1"/>
    <col min="9999" max="9999" width="7.7109375" bestFit="1" customWidth="1"/>
    <col min="10000" max="10000" width="4.7109375" bestFit="1" customWidth="1"/>
    <col min="10001" max="10001" width="5.7109375" customWidth="1"/>
    <col min="10002" max="10002" width="5.28515625" bestFit="1" customWidth="1"/>
    <col min="10003" max="10003" width="17.42578125" bestFit="1" customWidth="1"/>
    <col min="10004" max="10004" width="13" bestFit="1" customWidth="1"/>
    <col min="10005" max="10005" width="24.5703125" bestFit="1" customWidth="1"/>
    <col min="10006" max="10006" width="37.42578125" bestFit="1" customWidth="1"/>
    <col min="10007" max="10007" width="30.7109375" bestFit="1" customWidth="1"/>
    <col min="10008" max="10008" width="21.28515625" bestFit="1" customWidth="1"/>
    <col min="10009" max="10009" width="25.5703125" bestFit="1" customWidth="1"/>
    <col min="10010" max="10010" width="30" bestFit="1" customWidth="1"/>
    <col min="10011" max="10011" width="31.28515625" bestFit="1" customWidth="1"/>
    <col min="10012" max="10012" width="21.7109375" bestFit="1" customWidth="1"/>
    <col min="10013" max="10014" width="21.28515625" bestFit="1" customWidth="1"/>
    <col min="10015" max="10015" width="20.28515625" bestFit="1" customWidth="1"/>
    <col min="10236" max="10236" width="3.7109375" bestFit="1" customWidth="1"/>
    <col min="10237" max="10237" width="5.28515625" bestFit="1" customWidth="1"/>
    <col min="10238" max="10238" width="30.28515625" bestFit="1" customWidth="1"/>
    <col min="10239" max="10239" width="11.5703125" bestFit="1" customWidth="1"/>
    <col min="10240" max="10240" width="10.42578125" bestFit="1" customWidth="1"/>
    <col min="10241" max="10241" width="10.7109375" bestFit="1" customWidth="1"/>
    <col min="10242" max="10242" width="14.7109375" bestFit="1" customWidth="1"/>
    <col min="10243" max="10246" width="11.5703125" bestFit="1" customWidth="1"/>
    <col min="10247" max="10247" width="10.7109375" bestFit="1" customWidth="1"/>
    <col min="10248" max="10248" width="11.28515625" customWidth="1"/>
    <col min="10249" max="10249" width="11.28515625" bestFit="1" customWidth="1"/>
    <col min="10250" max="10252" width="11.5703125" bestFit="1" customWidth="1"/>
    <col min="10253" max="10253" width="3.42578125" bestFit="1" customWidth="1"/>
    <col min="10254" max="10254" width="11.5703125" bestFit="1" customWidth="1"/>
    <col min="10255" max="10255" width="7.7109375" bestFit="1" customWidth="1"/>
    <col min="10256" max="10256" width="4.7109375" bestFit="1" customWidth="1"/>
    <col min="10257" max="10257" width="5.7109375" customWidth="1"/>
    <col min="10258" max="10258" width="5.28515625" bestFit="1" customWidth="1"/>
    <col min="10259" max="10259" width="17.42578125" bestFit="1" customWidth="1"/>
    <col min="10260" max="10260" width="13" bestFit="1" customWidth="1"/>
    <col min="10261" max="10261" width="24.5703125" bestFit="1" customWidth="1"/>
    <col min="10262" max="10262" width="37.42578125" bestFit="1" customWidth="1"/>
    <col min="10263" max="10263" width="30.7109375" bestFit="1" customWidth="1"/>
    <col min="10264" max="10264" width="21.28515625" bestFit="1" customWidth="1"/>
    <col min="10265" max="10265" width="25.5703125" bestFit="1" customWidth="1"/>
    <col min="10266" max="10266" width="30" bestFit="1" customWidth="1"/>
    <col min="10267" max="10267" width="31.28515625" bestFit="1" customWidth="1"/>
    <col min="10268" max="10268" width="21.7109375" bestFit="1" customWidth="1"/>
    <col min="10269" max="10270" width="21.28515625" bestFit="1" customWidth="1"/>
    <col min="10271" max="10271" width="20.28515625" bestFit="1" customWidth="1"/>
    <col min="10492" max="10492" width="3.7109375" bestFit="1" customWidth="1"/>
    <col min="10493" max="10493" width="5.28515625" bestFit="1" customWidth="1"/>
    <col min="10494" max="10494" width="30.28515625" bestFit="1" customWidth="1"/>
    <col min="10495" max="10495" width="11.5703125" bestFit="1" customWidth="1"/>
    <col min="10496" max="10496" width="10.42578125" bestFit="1" customWidth="1"/>
    <col min="10497" max="10497" width="10.7109375" bestFit="1" customWidth="1"/>
    <col min="10498" max="10498" width="14.7109375" bestFit="1" customWidth="1"/>
    <col min="10499" max="10502" width="11.5703125" bestFit="1" customWidth="1"/>
    <col min="10503" max="10503" width="10.7109375" bestFit="1" customWidth="1"/>
    <col min="10504" max="10504" width="11.28515625" customWidth="1"/>
    <col min="10505" max="10505" width="11.28515625" bestFit="1" customWidth="1"/>
    <col min="10506" max="10508" width="11.5703125" bestFit="1" customWidth="1"/>
    <col min="10509" max="10509" width="3.42578125" bestFit="1" customWidth="1"/>
    <col min="10510" max="10510" width="11.5703125" bestFit="1" customWidth="1"/>
    <col min="10511" max="10511" width="7.7109375" bestFit="1" customWidth="1"/>
    <col min="10512" max="10512" width="4.7109375" bestFit="1" customWidth="1"/>
    <col min="10513" max="10513" width="5.7109375" customWidth="1"/>
    <col min="10514" max="10514" width="5.28515625" bestFit="1" customWidth="1"/>
    <col min="10515" max="10515" width="17.42578125" bestFit="1" customWidth="1"/>
    <col min="10516" max="10516" width="13" bestFit="1" customWidth="1"/>
    <col min="10517" max="10517" width="24.5703125" bestFit="1" customWidth="1"/>
    <col min="10518" max="10518" width="37.42578125" bestFit="1" customWidth="1"/>
    <col min="10519" max="10519" width="30.7109375" bestFit="1" customWidth="1"/>
    <col min="10520" max="10520" width="21.28515625" bestFit="1" customWidth="1"/>
    <col min="10521" max="10521" width="25.5703125" bestFit="1" customWidth="1"/>
    <col min="10522" max="10522" width="30" bestFit="1" customWidth="1"/>
    <col min="10523" max="10523" width="31.28515625" bestFit="1" customWidth="1"/>
    <col min="10524" max="10524" width="21.7109375" bestFit="1" customWidth="1"/>
    <col min="10525" max="10526" width="21.28515625" bestFit="1" customWidth="1"/>
    <col min="10527" max="10527" width="20.28515625" bestFit="1" customWidth="1"/>
    <col min="10748" max="10748" width="3.7109375" bestFit="1" customWidth="1"/>
    <col min="10749" max="10749" width="5.28515625" bestFit="1" customWidth="1"/>
    <col min="10750" max="10750" width="30.28515625" bestFit="1" customWidth="1"/>
    <col min="10751" max="10751" width="11.5703125" bestFit="1" customWidth="1"/>
    <col min="10752" max="10752" width="10.42578125" bestFit="1" customWidth="1"/>
    <col min="10753" max="10753" width="10.7109375" bestFit="1" customWidth="1"/>
    <col min="10754" max="10754" width="14.7109375" bestFit="1" customWidth="1"/>
    <col min="10755" max="10758" width="11.5703125" bestFit="1" customWidth="1"/>
    <col min="10759" max="10759" width="10.7109375" bestFit="1" customWidth="1"/>
    <col min="10760" max="10760" width="11.28515625" customWidth="1"/>
    <col min="10761" max="10761" width="11.28515625" bestFit="1" customWidth="1"/>
    <col min="10762" max="10764" width="11.5703125" bestFit="1" customWidth="1"/>
    <col min="10765" max="10765" width="3.42578125" bestFit="1" customWidth="1"/>
    <col min="10766" max="10766" width="11.5703125" bestFit="1" customWidth="1"/>
    <col min="10767" max="10767" width="7.7109375" bestFit="1" customWidth="1"/>
    <col min="10768" max="10768" width="4.7109375" bestFit="1" customWidth="1"/>
    <col min="10769" max="10769" width="5.7109375" customWidth="1"/>
    <col min="10770" max="10770" width="5.28515625" bestFit="1" customWidth="1"/>
    <col min="10771" max="10771" width="17.42578125" bestFit="1" customWidth="1"/>
    <col min="10772" max="10772" width="13" bestFit="1" customWidth="1"/>
    <col min="10773" max="10773" width="24.5703125" bestFit="1" customWidth="1"/>
    <col min="10774" max="10774" width="37.42578125" bestFit="1" customWidth="1"/>
    <col min="10775" max="10775" width="30.7109375" bestFit="1" customWidth="1"/>
    <col min="10776" max="10776" width="21.28515625" bestFit="1" customWidth="1"/>
    <col min="10777" max="10777" width="25.5703125" bestFit="1" customWidth="1"/>
    <col min="10778" max="10778" width="30" bestFit="1" customWidth="1"/>
    <col min="10779" max="10779" width="31.28515625" bestFit="1" customWidth="1"/>
    <col min="10780" max="10780" width="21.7109375" bestFit="1" customWidth="1"/>
    <col min="10781" max="10782" width="21.28515625" bestFit="1" customWidth="1"/>
    <col min="10783" max="10783" width="20.28515625" bestFit="1" customWidth="1"/>
    <col min="11004" max="11004" width="3.7109375" bestFit="1" customWidth="1"/>
    <col min="11005" max="11005" width="5.28515625" bestFit="1" customWidth="1"/>
    <col min="11006" max="11006" width="30.28515625" bestFit="1" customWidth="1"/>
    <col min="11007" max="11007" width="11.5703125" bestFit="1" customWidth="1"/>
    <col min="11008" max="11008" width="10.42578125" bestFit="1" customWidth="1"/>
    <col min="11009" max="11009" width="10.7109375" bestFit="1" customWidth="1"/>
    <col min="11010" max="11010" width="14.7109375" bestFit="1" customWidth="1"/>
    <col min="11011" max="11014" width="11.5703125" bestFit="1" customWidth="1"/>
    <col min="11015" max="11015" width="10.7109375" bestFit="1" customWidth="1"/>
    <col min="11016" max="11016" width="11.28515625" customWidth="1"/>
    <col min="11017" max="11017" width="11.28515625" bestFit="1" customWidth="1"/>
    <col min="11018" max="11020" width="11.5703125" bestFit="1" customWidth="1"/>
    <col min="11021" max="11021" width="3.42578125" bestFit="1" customWidth="1"/>
    <col min="11022" max="11022" width="11.5703125" bestFit="1" customWidth="1"/>
    <col min="11023" max="11023" width="7.7109375" bestFit="1" customWidth="1"/>
    <col min="11024" max="11024" width="4.7109375" bestFit="1" customWidth="1"/>
    <col min="11025" max="11025" width="5.7109375" customWidth="1"/>
    <col min="11026" max="11026" width="5.28515625" bestFit="1" customWidth="1"/>
    <col min="11027" max="11027" width="17.42578125" bestFit="1" customWidth="1"/>
    <col min="11028" max="11028" width="13" bestFit="1" customWidth="1"/>
    <col min="11029" max="11029" width="24.5703125" bestFit="1" customWidth="1"/>
    <col min="11030" max="11030" width="37.42578125" bestFit="1" customWidth="1"/>
    <col min="11031" max="11031" width="30.7109375" bestFit="1" customWidth="1"/>
    <col min="11032" max="11032" width="21.28515625" bestFit="1" customWidth="1"/>
    <col min="11033" max="11033" width="25.5703125" bestFit="1" customWidth="1"/>
    <col min="11034" max="11034" width="30" bestFit="1" customWidth="1"/>
    <col min="11035" max="11035" width="31.28515625" bestFit="1" customWidth="1"/>
    <col min="11036" max="11036" width="21.7109375" bestFit="1" customWidth="1"/>
    <col min="11037" max="11038" width="21.28515625" bestFit="1" customWidth="1"/>
    <col min="11039" max="11039" width="20.28515625" bestFit="1" customWidth="1"/>
    <col min="11260" max="11260" width="3.7109375" bestFit="1" customWidth="1"/>
    <col min="11261" max="11261" width="5.28515625" bestFit="1" customWidth="1"/>
    <col min="11262" max="11262" width="30.28515625" bestFit="1" customWidth="1"/>
    <col min="11263" max="11263" width="11.5703125" bestFit="1" customWidth="1"/>
    <col min="11264" max="11264" width="10.42578125" bestFit="1" customWidth="1"/>
    <col min="11265" max="11265" width="10.7109375" bestFit="1" customWidth="1"/>
    <col min="11266" max="11266" width="14.7109375" bestFit="1" customWidth="1"/>
    <col min="11267" max="11270" width="11.5703125" bestFit="1" customWidth="1"/>
    <col min="11271" max="11271" width="10.7109375" bestFit="1" customWidth="1"/>
    <col min="11272" max="11272" width="11.28515625" customWidth="1"/>
    <col min="11273" max="11273" width="11.28515625" bestFit="1" customWidth="1"/>
    <col min="11274" max="11276" width="11.5703125" bestFit="1" customWidth="1"/>
    <col min="11277" max="11277" width="3.42578125" bestFit="1" customWidth="1"/>
    <col min="11278" max="11278" width="11.5703125" bestFit="1" customWidth="1"/>
    <col min="11279" max="11279" width="7.7109375" bestFit="1" customWidth="1"/>
    <col min="11280" max="11280" width="4.7109375" bestFit="1" customWidth="1"/>
    <col min="11281" max="11281" width="5.7109375" customWidth="1"/>
    <col min="11282" max="11282" width="5.28515625" bestFit="1" customWidth="1"/>
    <col min="11283" max="11283" width="17.42578125" bestFit="1" customWidth="1"/>
    <col min="11284" max="11284" width="13" bestFit="1" customWidth="1"/>
    <col min="11285" max="11285" width="24.5703125" bestFit="1" customWidth="1"/>
    <col min="11286" max="11286" width="37.42578125" bestFit="1" customWidth="1"/>
    <col min="11287" max="11287" width="30.7109375" bestFit="1" customWidth="1"/>
    <col min="11288" max="11288" width="21.28515625" bestFit="1" customWidth="1"/>
    <col min="11289" max="11289" width="25.5703125" bestFit="1" customWidth="1"/>
    <col min="11290" max="11290" width="30" bestFit="1" customWidth="1"/>
    <col min="11291" max="11291" width="31.28515625" bestFit="1" customWidth="1"/>
    <col min="11292" max="11292" width="21.7109375" bestFit="1" customWidth="1"/>
    <col min="11293" max="11294" width="21.28515625" bestFit="1" customWidth="1"/>
    <col min="11295" max="11295" width="20.28515625" bestFit="1" customWidth="1"/>
    <col min="11516" max="11516" width="3.7109375" bestFit="1" customWidth="1"/>
    <col min="11517" max="11517" width="5.28515625" bestFit="1" customWidth="1"/>
    <col min="11518" max="11518" width="30.28515625" bestFit="1" customWidth="1"/>
    <col min="11519" max="11519" width="11.5703125" bestFit="1" customWidth="1"/>
    <col min="11520" max="11520" width="10.42578125" bestFit="1" customWidth="1"/>
    <col min="11521" max="11521" width="10.7109375" bestFit="1" customWidth="1"/>
    <col min="11522" max="11522" width="14.7109375" bestFit="1" customWidth="1"/>
    <col min="11523" max="11526" width="11.5703125" bestFit="1" customWidth="1"/>
    <col min="11527" max="11527" width="10.7109375" bestFit="1" customWidth="1"/>
    <col min="11528" max="11528" width="11.28515625" customWidth="1"/>
    <col min="11529" max="11529" width="11.28515625" bestFit="1" customWidth="1"/>
    <col min="11530" max="11532" width="11.5703125" bestFit="1" customWidth="1"/>
    <col min="11533" max="11533" width="3.42578125" bestFit="1" customWidth="1"/>
    <col min="11534" max="11534" width="11.5703125" bestFit="1" customWidth="1"/>
    <col min="11535" max="11535" width="7.7109375" bestFit="1" customWidth="1"/>
    <col min="11536" max="11536" width="4.7109375" bestFit="1" customWidth="1"/>
    <col min="11537" max="11537" width="5.7109375" customWidth="1"/>
    <col min="11538" max="11538" width="5.28515625" bestFit="1" customWidth="1"/>
    <col min="11539" max="11539" width="17.42578125" bestFit="1" customWidth="1"/>
    <col min="11540" max="11540" width="13" bestFit="1" customWidth="1"/>
    <col min="11541" max="11541" width="24.5703125" bestFit="1" customWidth="1"/>
    <col min="11542" max="11542" width="37.42578125" bestFit="1" customWidth="1"/>
    <col min="11543" max="11543" width="30.7109375" bestFit="1" customWidth="1"/>
    <col min="11544" max="11544" width="21.28515625" bestFit="1" customWidth="1"/>
    <col min="11545" max="11545" width="25.5703125" bestFit="1" customWidth="1"/>
    <col min="11546" max="11546" width="30" bestFit="1" customWidth="1"/>
    <col min="11547" max="11547" width="31.28515625" bestFit="1" customWidth="1"/>
    <col min="11548" max="11548" width="21.7109375" bestFit="1" customWidth="1"/>
    <col min="11549" max="11550" width="21.28515625" bestFit="1" customWidth="1"/>
    <col min="11551" max="11551" width="20.28515625" bestFit="1" customWidth="1"/>
    <col min="11772" max="11772" width="3.7109375" bestFit="1" customWidth="1"/>
    <col min="11773" max="11773" width="5.28515625" bestFit="1" customWidth="1"/>
    <col min="11774" max="11774" width="30.28515625" bestFit="1" customWidth="1"/>
    <col min="11775" max="11775" width="11.5703125" bestFit="1" customWidth="1"/>
    <col min="11776" max="11776" width="10.42578125" bestFit="1" customWidth="1"/>
    <col min="11777" max="11777" width="10.7109375" bestFit="1" customWidth="1"/>
    <col min="11778" max="11778" width="14.7109375" bestFit="1" customWidth="1"/>
    <col min="11779" max="11782" width="11.5703125" bestFit="1" customWidth="1"/>
    <col min="11783" max="11783" width="10.7109375" bestFit="1" customWidth="1"/>
    <col min="11784" max="11784" width="11.28515625" customWidth="1"/>
    <col min="11785" max="11785" width="11.28515625" bestFit="1" customWidth="1"/>
    <col min="11786" max="11788" width="11.5703125" bestFit="1" customWidth="1"/>
    <col min="11789" max="11789" width="3.42578125" bestFit="1" customWidth="1"/>
    <col min="11790" max="11790" width="11.5703125" bestFit="1" customWidth="1"/>
    <col min="11791" max="11791" width="7.7109375" bestFit="1" customWidth="1"/>
    <col min="11792" max="11792" width="4.7109375" bestFit="1" customWidth="1"/>
    <col min="11793" max="11793" width="5.7109375" customWidth="1"/>
    <col min="11794" max="11794" width="5.28515625" bestFit="1" customWidth="1"/>
    <col min="11795" max="11795" width="17.42578125" bestFit="1" customWidth="1"/>
    <col min="11796" max="11796" width="13" bestFit="1" customWidth="1"/>
    <col min="11797" max="11797" width="24.5703125" bestFit="1" customWidth="1"/>
    <col min="11798" max="11798" width="37.42578125" bestFit="1" customWidth="1"/>
    <col min="11799" max="11799" width="30.7109375" bestFit="1" customWidth="1"/>
    <col min="11800" max="11800" width="21.28515625" bestFit="1" customWidth="1"/>
    <col min="11801" max="11801" width="25.5703125" bestFit="1" customWidth="1"/>
    <col min="11802" max="11802" width="30" bestFit="1" customWidth="1"/>
    <col min="11803" max="11803" width="31.28515625" bestFit="1" customWidth="1"/>
    <col min="11804" max="11804" width="21.7109375" bestFit="1" customWidth="1"/>
    <col min="11805" max="11806" width="21.28515625" bestFit="1" customWidth="1"/>
    <col min="11807" max="11807" width="20.28515625" bestFit="1" customWidth="1"/>
    <col min="12028" max="12028" width="3.7109375" bestFit="1" customWidth="1"/>
    <col min="12029" max="12029" width="5.28515625" bestFit="1" customWidth="1"/>
    <col min="12030" max="12030" width="30.28515625" bestFit="1" customWidth="1"/>
    <col min="12031" max="12031" width="11.5703125" bestFit="1" customWidth="1"/>
    <col min="12032" max="12032" width="10.42578125" bestFit="1" customWidth="1"/>
    <col min="12033" max="12033" width="10.7109375" bestFit="1" customWidth="1"/>
    <col min="12034" max="12034" width="14.7109375" bestFit="1" customWidth="1"/>
    <col min="12035" max="12038" width="11.5703125" bestFit="1" customWidth="1"/>
    <col min="12039" max="12039" width="10.7109375" bestFit="1" customWidth="1"/>
    <col min="12040" max="12040" width="11.28515625" customWidth="1"/>
    <col min="12041" max="12041" width="11.28515625" bestFit="1" customWidth="1"/>
    <col min="12042" max="12044" width="11.5703125" bestFit="1" customWidth="1"/>
    <col min="12045" max="12045" width="3.42578125" bestFit="1" customWidth="1"/>
    <col min="12046" max="12046" width="11.5703125" bestFit="1" customWidth="1"/>
    <col min="12047" max="12047" width="7.7109375" bestFit="1" customWidth="1"/>
    <col min="12048" max="12048" width="4.7109375" bestFit="1" customWidth="1"/>
    <col min="12049" max="12049" width="5.7109375" customWidth="1"/>
    <col min="12050" max="12050" width="5.28515625" bestFit="1" customWidth="1"/>
    <col min="12051" max="12051" width="17.42578125" bestFit="1" customWidth="1"/>
    <col min="12052" max="12052" width="13" bestFit="1" customWidth="1"/>
    <col min="12053" max="12053" width="24.5703125" bestFit="1" customWidth="1"/>
    <col min="12054" max="12054" width="37.42578125" bestFit="1" customWidth="1"/>
    <col min="12055" max="12055" width="30.7109375" bestFit="1" customWidth="1"/>
    <col min="12056" max="12056" width="21.28515625" bestFit="1" customWidth="1"/>
    <col min="12057" max="12057" width="25.5703125" bestFit="1" customWidth="1"/>
    <col min="12058" max="12058" width="30" bestFit="1" customWidth="1"/>
    <col min="12059" max="12059" width="31.28515625" bestFit="1" customWidth="1"/>
    <col min="12060" max="12060" width="21.7109375" bestFit="1" customWidth="1"/>
    <col min="12061" max="12062" width="21.28515625" bestFit="1" customWidth="1"/>
    <col min="12063" max="12063" width="20.28515625" bestFit="1" customWidth="1"/>
    <col min="12284" max="12284" width="3.7109375" bestFit="1" customWidth="1"/>
    <col min="12285" max="12285" width="5.28515625" bestFit="1" customWidth="1"/>
    <col min="12286" max="12286" width="30.28515625" bestFit="1" customWidth="1"/>
    <col min="12287" max="12287" width="11.5703125" bestFit="1" customWidth="1"/>
    <col min="12288" max="12288" width="10.42578125" bestFit="1" customWidth="1"/>
    <col min="12289" max="12289" width="10.7109375" bestFit="1" customWidth="1"/>
    <col min="12290" max="12290" width="14.7109375" bestFit="1" customWidth="1"/>
    <col min="12291" max="12294" width="11.5703125" bestFit="1" customWidth="1"/>
    <col min="12295" max="12295" width="10.7109375" bestFit="1" customWidth="1"/>
    <col min="12296" max="12296" width="11.28515625" customWidth="1"/>
    <col min="12297" max="12297" width="11.28515625" bestFit="1" customWidth="1"/>
    <col min="12298" max="12300" width="11.5703125" bestFit="1" customWidth="1"/>
    <col min="12301" max="12301" width="3.42578125" bestFit="1" customWidth="1"/>
    <col min="12302" max="12302" width="11.5703125" bestFit="1" customWidth="1"/>
    <col min="12303" max="12303" width="7.7109375" bestFit="1" customWidth="1"/>
    <col min="12304" max="12304" width="4.7109375" bestFit="1" customWidth="1"/>
    <col min="12305" max="12305" width="5.7109375" customWidth="1"/>
    <col min="12306" max="12306" width="5.28515625" bestFit="1" customWidth="1"/>
    <col min="12307" max="12307" width="17.42578125" bestFit="1" customWidth="1"/>
    <col min="12308" max="12308" width="13" bestFit="1" customWidth="1"/>
    <col min="12309" max="12309" width="24.5703125" bestFit="1" customWidth="1"/>
    <col min="12310" max="12310" width="37.42578125" bestFit="1" customWidth="1"/>
    <col min="12311" max="12311" width="30.7109375" bestFit="1" customWidth="1"/>
    <col min="12312" max="12312" width="21.28515625" bestFit="1" customWidth="1"/>
    <col min="12313" max="12313" width="25.5703125" bestFit="1" customWidth="1"/>
    <col min="12314" max="12314" width="30" bestFit="1" customWidth="1"/>
    <col min="12315" max="12315" width="31.28515625" bestFit="1" customWidth="1"/>
    <col min="12316" max="12316" width="21.7109375" bestFit="1" customWidth="1"/>
    <col min="12317" max="12318" width="21.28515625" bestFit="1" customWidth="1"/>
    <col min="12319" max="12319" width="20.28515625" bestFit="1" customWidth="1"/>
    <col min="12540" max="12540" width="3.7109375" bestFit="1" customWidth="1"/>
    <col min="12541" max="12541" width="5.28515625" bestFit="1" customWidth="1"/>
    <col min="12542" max="12542" width="30.28515625" bestFit="1" customWidth="1"/>
    <col min="12543" max="12543" width="11.5703125" bestFit="1" customWidth="1"/>
    <col min="12544" max="12544" width="10.42578125" bestFit="1" customWidth="1"/>
    <col min="12545" max="12545" width="10.7109375" bestFit="1" customWidth="1"/>
    <col min="12546" max="12546" width="14.7109375" bestFit="1" customWidth="1"/>
    <col min="12547" max="12550" width="11.5703125" bestFit="1" customWidth="1"/>
    <col min="12551" max="12551" width="10.7109375" bestFit="1" customWidth="1"/>
    <col min="12552" max="12552" width="11.28515625" customWidth="1"/>
    <col min="12553" max="12553" width="11.28515625" bestFit="1" customWidth="1"/>
    <col min="12554" max="12556" width="11.5703125" bestFit="1" customWidth="1"/>
    <col min="12557" max="12557" width="3.42578125" bestFit="1" customWidth="1"/>
    <col min="12558" max="12558" width="11.5703125" bestFit="1" customWidth="1"/>
    <col min="12559" max="12559" width="7.7109375" bestFit="1" customWidth="1"/>
    <col min="12560" max="12560" width="4.7109375" bestFit="1" customWidth="1"/>
    <col min="12561" max="12561" width="5.7109375" customWidth="1"/>
    <col min="12562" max="12562" width="5.28515625" bestFit="1" customWidth="1"/>
    <col min="12563" max="12563" width="17.42578125" bestFit="1" customWidth="1"/>
    <col min="12564" max="12564" width="13" bestFit="1" customWidth="1"/>
    <col min="12565" max="12565" width="24.5703125" bestFit="1" customWidth="1"/>
    <col min="12566" max="12566" width="37.42578125" bestFit="1" customWidth="1"/>
    <col min="12567" max="12567" width="30.7109375" bestFit="1" customWidth="1"/>
    <col min="12568" max="12568" width="21.28515625" bestFit="1" customWidth="1"/>
    <col min="12569" max="12569" width="25.5703125" bestFit="1" customWidth="1"/>
    <col min="12570" max="12570" width="30" bestFit="1" customWidth="1"/>
    <col min="12571" max="12571" width="31.28515625" bestFit="1" customWidth="1"/>
    <col min="12572" max="12572" width="21.7109375" bestFit="1" customWidth="1"/>
    <col min="12573" max="12574" width="21.28515625" bestFit="1" customWidth="1"/>
    <col min="12575" max="12575" width="20.28515625" bestFit="1" customWidth="1"/>
    <col min="12796" max="12796" width="3.7109375" bestFit="1" customWidth="1"/>
    <col min="12797" max="12797" width="5.28515625" bestFit="1" customWidth="1"/>
    <col min="12798" max="12798" width="30.28515625" bestFit="1" customWidth="1"/>
    <col min="12799" max="12799" width="11.5703125" bestFit="1" customWidth="1"/>
    <col min="12800" max="12800" width="10.42578125" bestFit="1" customWidth="1"/>
    <col min="12801" max="12801" width="10.7109375" bestFit="1" customWidth="1"/>
    <col min="12802" max="12802" width="14.7109375" bestFit="1" customWidth="1"/>
    <col min="12803" max="12806" width="11.5703125" bestFit="1" customWidth="1"/>
    <col min="12807" max="12807" width="10.7109375" bestFit="1" customWidth="1"/>
    <col min="12808" max="12808" width="11.28515625" customWidth="1"/>
    <col min="12809" max="12809" width="11.28515625" bestFit="1" customWidth="1"/>
    <col min="12810" max="12812" width="11.5703125" bestFit="1" customWidth="1"/>
    <col min="12813" max="12813" width="3.42578125" bestFit="1" customWidth="1"/>
    <col min="12814" max="12814" width="11.5703125" bestFit="1" customWidth="1"/>
    <col min="12815" max="12815" width="7.7109375" bestFit="1" customWidth="1"/>
    <col min="12816" max="12816" width="4.7109375" bestFit="1" customWidth="1"/>
    <col min="12817" max="12817" width="5.7109375" customWidth="1"/>
    <col min="12818" max="12818" width="5.28515625" bestFit="1" customWidth="1"/>
    <col min="12819" max="12819" width="17.42578125" bestFit="1" customWidth="1"/>
    <col min="12820" max="12820" width="13" bestFit="1" customWidth="1"/>
    <col min="12821" max="12821" width="24.5703125" bestFit="1" customWidth="1"/>
    <col min="12822" max="12822" width="37.42578125" bestFit="1" customWidth="1"/>
    <col min="12823" max="12823" width="30.7109375" bestFit="1" customWidth="1"/>
    <col min="12824" max="12824" width="21.28515625" bestFit="1" customWidth="1"/>
    <col min="12825" max="12825" width="25.5703125" bestFit="1" customWidth="1"/>
    <col min="12826" max="12826" width="30" bestFit="1" customWidth="1"/>
    <col min="12827" max="12827" width="31.28515625" bestFit="1" customWidth="1"/>
    <col min="12828" max="12828" width="21.7109375" bestFit="1" customWidth="1"/>
    <col min="12829" max="12830" width="21.28515625" bestFit="1" customWidth="1"/>
    <col min="12831" max="12831" width="20.28515625" bestFit="1" customWidth="1"/>
    <col min="13052" max="13052" width="3.7109375" bestFit="1" customWidth="1"/>
    <col min="13053" max="13053" width="5.28515625" bestFit="1" customWidth="1"/>
    <col min="13054" max="13054" width="30.28515625" bestFit="1" customWidth="1"/>
    <col min="13055" max="13055" width="11.5703125" bestFit="1" customWidth="1"/>
    <col min="13056" max="13056" width="10.42578125" bestFit="1" customWidth="1"/>
    <col min="13057" max="13057" width="10.7109375" bestFit="1" customWidth="1"/>
    <col min="13058" max="13058" width="14.7109375" bestFit="1" customWidth="1"/>
    <col min="13059" max="13062" width="11.5703125" bestFit="1" customWidth="1"/>
    <col min="13063" max="13063" width="10.7109375" bestFit="1" customWidth="1"/>
    <col min="13064" max="13064" width="11.28515625" customWidth="1"/>
    <col min="13065" max="13065" width="11.28515625" bestFit="1" customWidth="1"/>
    <col min="13066" max="13068" width="11.5703125" bestFit="1" customWidth="1"/>
    <col min="13069" max="13069" width="3.42578125" bestFit="1" customWidth="1"/>
    <col min="13070" max="13070" width="11.5703125" bestFit="1" customWidth="1"/>
    <col min="13071" max="13071" width="7.7109375" bestFit="1" customWidth="1"/>
    <col min="13072" max="13072" width="4.7109375" bestFit="1" customWidth="1"/>
    <col min="13073" max="13073" width="5.7109375" customWidth="1"/>
    <col min="13074" max="13074" width="5.28515625" bestFit="1" customWidth="1"/>
    <col min="13075" max="13075" width="17.42578125" bestFit="1" customWidth="1"/>
    <col min="13076" max="13076" width="13" bestFit="1" customWidth="1"/>
    <col min="13077" max="13077" width="24.5703125" bestFit="1" customWidth="1"/>
    <col min="13078" max="13078" width="37.42578125" bestFit="1" customWidth="1"/>
    <col min="13079" max="13079" width="30.7109375" bestFit="1" customWidth="1"/>
    <col min="13080" max="13080" width="21.28515625" bestFit="1" customWidth="1"/>
    <col min="13081" max="13081" width="25.5703125" bestFit="1" customWidth="1"/>
    <col min="13082" max="13082" width="30" bestFit="1" customWidth="1"/>
    <col min="13083" max="13083" width="31.28515625" bestFit="1" customWidth="1"/>
    <col min="13084" max="13084" width="21.7109375" bestFit="1" customWidth="1"/>
    <col min="13085" max="13086" width="21.28515625" bestFit="1" customWidth="1"/>
    <col min="13087" max="13087" width="20.28515625" bestFit="1" customWidth="1"/>
    <col min="13308" max="13308" width="3.7109375" bestFit="1" customWidth="1"/>
    <col min="13309" max="13309" width="5.28515625" bestFit="1" customWidth="1"/>
    <col min="13310" max="13310" width="30.28515625" bestFit="1" customWidth="1"/>
    <col min="13311" max="13311" width="11.5703125" bestFit="1" customWidth="1"/>
    <col min="13312" max="13312" width="10.42578125" bestFit="1" customWidth="1"/>
    <col min="13313" max="13313" width="10.7109375" bestFit="1" customWidth="1"/>
    <col min="13314" max="13314" width="14.7109375" bestFit="1" customWidth="1"/>
    <col min="13315" max="13318" width="11.5703125" bestFit="1" customWidth="1"/>
    <col min="13319" max="13319" width="10.7109375" bestFit="1" customWidth="1"/>
    <col min="13320" max="13320" width="11.28515625" customWidth="1"/>
    <col min="13321" max="13321" width="11.28515625" bestFit="1" customWidth="1"/>
    <col min="13322" max="13324" width="11.5703125" bestFit="1" customWidth="1"/>
    <col min="13325" max="13325" width="3.42578125" bestFit="1" customWidth="1"/>
    <col min="13326" max="13326" width="11.5703125" bestFit="1" customWidth="1"/>
    <col min="13327" max="13327" width="7.7109375" bestFit="1" customWidth="1"/>
    <col min="13328" max="13328" width="4.7109375" bestFit="1" customWidth="1"/>
    <col min="13329" max="13329" width="5.7109375" customWidth="1"/>
    <col min="13330" max="13330" width="5.28515625" bestFit="1" customWidth="1"/>
    <col min="13331" max="13331" width="17.42578125" bestFit="1" customWidth="1"/>
    <col min="13332" max="13332" width="13" bestFit="1" customWidth="1"/>
    <col min="13333" max="13333" width="24.5703125" bestFit="1" customWidth="1"/>
    <col min="13334" max="13334" width="37.42578125" bestFit="1" customWidth="1"/>
    <col min="13335" max="13335" width="30.7109375" bestFit="1" customWidth="1"/>
    <col min="13336" max="13336" width="21.28515625" bestFit="1" customWidth="1"/>
    <col min="13337" max="13337" width="25.5703125" bestFit="1" customWidth="1"/>
    <col min="13338" max="13338" width="30" bestFit="1" customWidth="1"/>
    <col min="13339" max="13339" width="31.28515625" bestFit="1" customWidth="1"/>
    <col min="13340" max="13340" width="21.7109375" bestFit="1" customWidth="1"/>
    <col min="13341" max="13342" width="21.28515625" bestFit="1" customWidth="1"/>
    <col min="13343" max="13343" width="20.28515625" bestFit="1" customWidth="1"/>
    <col min="13564" max="13564" width="3.7109375" bestFit="1" customWidth="1"/>
    <col min="13565" max="13565" width="5.28515625" bestFit="1" customWidth="1"/>
    <col min="13566" max="13566" width="30.28515625" bestFit="1" customWidth="1"/>
    <col min="13567" max="13567" width="11.5703125" bestFit="1" customWidth="1"/>
    <col min="13568" max="13568" width="10.42578125" bestFit="1" customWidth="1"/>
    <col min="13569" max="13569" width="10.7109375" bestFit="1" customWidth="1"/>
    <col min="13570" max="13570" width="14.7109375" bestFit="1" customWidth="1"/>
    <col min="13571" max="13574" width="11.5703125" bestFit="1" customWidth="1"/>
    <col min="13575" max="13575" width="10.7109375" bestFit="1" customWidth="1"/>
    <col min="13576" max="13576" width="11.28515625" customWidth="1"/>
    <col min="13577" max="13577" width="11.28515625" bestFit="1" customWidth="1"/>
    <col min="13578" max="13580" width="11.5703125" bestFit="1" customWidth="1"/>
    <col min="13581" max="13581" width="3.42578125" bestFit="1" customWidth="1"/>
    <col min="13582" max="13582" width="11.5703125" bestFit="1" customWidth="1"/>
    <col min="13583" max="13583" width="7.7109375" bestFit="1" customWidth="1"/>
    <col min="13584" max="13584" width="4.7109375" bestFit="1" customWidth="1"/>
    <col min="13585" max="13585" width="5.7109375" customWidth="1"/>
    <col min="13586" max="13586" width="5.28515625" bestFit="1" customWidth="1"/>
    <col min="13587" max="13587" width="17.42578125" bestFit="1" customWidth="1"/>
    <col min="13588" max="13588" width="13" bestFit="1" customWidth="1"/>
    <col min="13589" max="13589" width="24.5703125" bestFit="1" customWidth="1"/>
    <col min="13590" max="13590" width="37.42578125" bestFit="1" customWidth="1"/>
    <col min="13591" max="13591" width="30.7109375" bestFit="1" customWidth="1"/>
    <col min="13592" max="13592" width="21.28515625" bestFit="1" customWidth="1"/>
    <col min="13593" max="13593" width="25.5703125" bestFit="1" customWidth="1"/>
    <col min="13594" max="13594" width="30" bestFit="1" customWidth="1"/>
    <col min="13595" max="13595" width="31.28515625" bestFit="1" customWidth="1"/>
    <col min="13596" max="13596" width="21.7109375" bestFit="1" customWidth="1"/>
    <col min="13597" max="13598" width="21.28515625" bestFit="1" customWidth="1"/>
    <col min="13599" max="13599" width="20.28515625" bestFit="1" customWidth="1"/>
    <col min="13820" max="13820" width="3.7109375" bestFit="1" customWidth="1"/>
    <col min="13821" max="13821" width="5.28515625" bestFit="1" customWidth="1"/>
    <col min="13822" max="13822" width="30.28515625" bestFit="1" customWidth="1"/>
    <col min="13823" max="13823" width="11.5703125" bestFit="1" customWidth="1"/>
    <col min="13824" max="13824" width="10.42578125" bestFit="1" customWidth="1"/>
    <col min="13825" max="13825" width="10.7109375" bestFit="1" customWidth="1"/>
    <col min="13826" max="13826" width="14.7109375" bestFit="1" customWidth="1"/>
    <col min="13827" max="13830" width="11.5703125" bestFit="1" customWidth="1"/>
    <col min="13831" max="13831" width="10.7109375" bestFit="1" customWidth="1"/>
    <col min="13832" max="13832" width="11.28515625" customWidth="1"/>
    <col min="13833" max="13833" width="11.28515625" bestFit="1" customWidth="1"/>
    <col min="13834" max="13836" width="11.5703125" bestFit="1" customWidth="1"/>
    <col min="13837" max="13837" width="3.42578125" bestFit="1" customWidth="1"/>
    <col min="13838" max="13838" width="11.5703125" bestFit="1" customWidth="1"/>
    <col min="13839" max="13839" width="7.7109375" bestFit="1" customWidth="1"/>
    <col min="13840" max="13840" width="4.7109375" bestFit="1" customWidth="1"/>
    <col min="13841" max="13841" width="5.7109375" customWidth="1"/>
    <col min="13842" max="13842" width="5.28515625" bestFit="1" customWidth="1"/>
    <col min="13843" max="13843" width="17.42578125" bestFit="1" customWidth="1"/>
    <col min="13844" max="13844" width="13" bestFit="1" customWidth="1"/>
    <col min="13845" max="13845" width="24.5703125" bestFit="1" customWidth="1"/>
    <col min="13846" max="13846" width="37.42578125" bestFit="1" customWidth="1"/>
    <col min="13847" max="13847" width="30.7109375" bestFit="1" customWidth="1"/>
    <col min="13848" max="13848" width="21.28515625" bestFit="1" customWidth="1"/>
    <col min="13849" max="13849" width="25.5703125" bestFit="1" customWidth="1"/>
    <col min="13850" max="13850" width="30" bestFit="1" customWidth="1"/>
    <col min="13851" max="13851" width="31.28515625" bestFit="1" customWidth="1"/>
    <col min="13852" max="13852" width="21.7109375" bestFit="1" customWidth="1"/>
    <col min="13853" max="13854" width="21.28515625" bestFit="1" customWidth="1"/>
    <col min="13855" max="13855" width="20.28515625" bestFit="1" customWidth="1"/>
    <col min="14076" max="14076" width="3.7109375" bestFit="1" customWidth="1"/>
    <col min="14077" max="14077" width="5.28515625" bestFit="1" customWidth="1"/>
    <col min="14078" max="14078" width="30.28515625" bestFit="1" customWidth="1"/>
    <col min="14079" max="14079" width="11.5703125" bestFit="1" customWidth="1"/>
    <col min="14080" max="14080" width="10.42578125" bestFit="1" customWidth="1"/>
    <col min="14081" max="14081" width="10.7109375" bestFit="1" customWidth="1"/>
    <col min="14082" max="14082" width="14.7109375" bestFit="1" customWidth="1"/>
    <col min="14083" max="14086" width="11.5703125" bestFit="1" customWidth="1"/>
    <col min="14087" max="14087" width="10.7109375" bestFit="1" customWidth="1"/>
    <col min="14088" max="14088" width="11.28515625" customWidth="1"/>
    <col min="14089" max="14089" width="11.28515625" bestFit="1" customWidth="1"/>
    <col min="14090" max="14092" width="11.5703125" bestFit="1" customWidth="1"/>
    <col min="14093" max="14093" width="3.42578125" bestFit="1" customWidth="1"/>
    <col min="14094" max="14094" width="11.5703125" bestFit="1" customWidth="1"/>
    <col min="14095" max="14095" width="7.7109375" bestFit="1" customWidth="1"/>
    <col min="14096" max="14096" width="4.7109375" bestFit="1" customWidth="1"/>
    <col min="14097" max="14097" width="5.7109375" customWidth="1"/>
    <col min="14098" max="14098" width="5.28515625" bestFit="1" customWidth="1"/>
    <col min="14099" max="14099" width="17.42578125" bestFit="1" customWidth="1"/>
    <col min="14100" max="14100" width="13" bestFit="1" customWidth="1"/>
    <col min="14101" max="14101" width="24.5703125" bestFit="1" customWidth="1"/>
    <col min="14102" max="14102" width="37.42578125" bestFit="1" customWidth="1"/>
    <col min="14103" max="14103" width="30.7109375" bestFit="1" customWidth="1"/>
    <col min="14104" max="14104" width="21.28515625" bestFit="1" customWidth="1"/>
    <col min="14105" max="14105" width="25.5703125" bestFit="1" customWidth="1"/>
    <col min="14106" max="14106" width="30" bestFit="1" customWidth="1"/>
    <col min="14107" max="14107" width="31.28515625" bestFit="1" customWidth="1"/>
    <col min="14108" max="14108" width="21.7109375" bestFit="1" customWidth="1"/>
    <col min="14109" max="14110" width="21.28515625" bestFit="1" customWidth="1"/>
    <col min="14111" max="14111" width="20.28515625" bestFit="1" customWidth="1"/>
    <col min="14332" max="14332" width="3.7109375" bestFit="1" customWidth="1"/>
    <col min="14333" max="14333" width="5.28515625" bestFit="1" customWidth="1"/>
    <col min="14334" max="14334" width="30.28515625" bestFit="1" customWidth="1"/>
    <col min="14335" max="14335" width="11.5703125" bestFit="1" customWidth="1"/>
    <col min="14336" max="14336" width="10.42578125" bestFit="1" customWidth="1"/>
    <col min="14337" max="14337" width="10.7109375" bestFit="1" customWidth="1"/>
    <col min="14338" max="14338" width="14.7109375" bestFit="1" customWidth="1"/>
    <col min="14339" max="14342" width="11.5703125" bestFit="1" customWidth="1"/>
    <col min="14343" max="14343" width="10.7109375" bestFit="1" customWidth="1"/>
    <col min="14344" max="14344" width="11.28515625" customWidth="1"/>
    <col min="14345" max="14345" width="11.28515625" bestFit="1" customWidth="1"/>
    <col min="14346" max="14348" width="11.5703125" bestFit="1" customWidth="1"/>
    <col min="14349" max="14349" width="3.42578125" bestFit="1" customWidth="1"/>
    <col min="14350" max="14350" width="11.5703125" bestFit="1" customWidth="1"/>
    <col min="14351" max="14351" width="7.7109375" bestFit="1" customWidth="1"/>
    <col min="14352" max="14352" width="4.7109375" bestFit="1" customWidth="1"/>
    <col min="14353" max="14353" width="5.7109375" customWidth="1"/>
    <col min="14354" max="14354" width="5.28515625" bestFit="1" customWidth="1"/>
    <col min="14355" max="14355" width="17.42578125" bestFit="1" customWidth="1"/>
    <col min="14356" max="14356" width="13" bestFit="1" customWidth="1"/>
    <col min="14357" max="14357" width="24.5703125" bestFit="1" customWidth="1"/>
    <col min="14358" max="14358" width="37.42578125" bestFit="1" customWidth="1"/>
    <col min="14359" max="14359" width="30.7109375" bestFit="1" customWidth="1"/>
    <col min="14360" max="14360" width="21.28515625" bestFit="1" customWidth="1"/>
    <col min="14361" max="14361" width="25.5703125" bestFit="1" customWidth="1"/>
    <col min="14362" max="14362" width="30" bestFit="1" customWidth="1"/>
    <col min="14363" max="14363" width="31.28515625" bestFit="1" customWidth="1"/>
    <col min="14364" max="14364" width="21.7109375" bestFit="1" customWidth="1"/>
    <col min="14365" max="14366" width="21.28515625" bestFit="1" customWidth="1"/>
    <col min="14367" max="14367" width="20.28515625" bestFit="1" customWidth="1"/>
    <col min="14588" max="14588" width="3.7109375" bestFit="1" customWidth="1"/>
    <col min="14589" max="14589" width="5.28515625" bestFit="1" customWidth="1"/>
    <col min="14590" max="14590" width="30.28515625" bestFit="1" customWidth="1"/>
    <col min="14591" max="14591" width="11.5703125" bestFit="1" customWidth="1"/>
    <col min="14592" max="14592" width="10.42578125" bestFit="1" customWidth="1"/>
    <col min="14593" max="14593" width="10.7109375" bestFit="1" customWidth="1"/>
    <col min="14594" max="14594" width="14.7109375" bestFit="1" customWidth="1"/>
    <col min="14595" max="14598" width="11.5703125" bestFit="1" customWidth="1"/>
    <col min="14599" max="14599" width="10.7109375" bestFit="1" customWidth="1"/>
    <col min="14600" max="14600" width="11.28515625" customWidth="1"/>
    <col min="14601" max="14601" width="11.28515625" bestFit="1" customWidth="1"/>
    <col min="14602" max="14604" width="11.5703125" bestFit="1" customWidth="1"/>
    <col min="14605" max="14605" width="3.42578125" bestFit="1" customWidth="1"/>
    <col min="14606" max="14606" width="11.5703125" bestFit="1" customWidth="1"/>
    <col min="14607" max="14607" width="7.7109375" bestFit="1" customWidth="1"/>
    <col min="14608" max="14608" width="4.7109375" bestFit="1" customWidth="1"/>
    <col min="14609" max="14609" width="5.7109375" customWidth="1"/>
    <col min="14610" max="14610" width="5.28515625" bestFit="1" customWidth="1"/>
    <col min="14611" max="14611" width="17.42578125" bestFit="1" customWidth="1"/>
    <col min="14612" max="14612" width="13" bestFit="1" customWidth="1"/>
    <col min="14613" max="14613" width="24.5703125" bestFit="1" customWidth="1"/>
    <col min="14614" max="14614" width="37.42578125" bestFit="1" customWidth="1"/>
    <col min="14615" max="14615" width="30.7109375" bestFit="1" customWidth="1"/>
    <col min="14616" max="14616" width="21.28515625" bestFit="1" customWidth="1"/>
    <col min="14617" max="14617" width="25.5703125" bestFit="1" customWidth="1"/>
    <col min="14618" max="14618" width="30" bestFit="1" customWidth="1"/>
    <col min="14619" max="14619" width="31.28515625" bestFit="1" customWidth="1"/>
    <col min="14620" max="14620" width="21.7109375" bestFit="1" customWidth="1"/>
    <col min="14621" max="14622" width="21.28515625" bestFit="1" customWidth="1"/>
    <col min="14623" max="14623" width="20.28515625" bestFit="1" customWidth="1"/>
    <col min="14844" max="14844" width="3.7109375" bestFit="1" customWidth="1"/>
    <col min="14845" max="14845" width="5.28515625" bestFit="1" customWidth="1"/>
    <col min="14846" max="14846" width="30.28515625" bestFit="1" customWidth="1"/>
    <col min="14847" max="14847" width="11.5703125" bestFit="1" customWidth="1"/>
    <col min="14848" max="14848" width="10.42578125" bestFit="1" customWidth="1"/>
    <col min="14849" max="14849" width="10.7109375" bestFit="1" customWidth="1"/>
    <col min="14850" max="14850" width="14.7109375" bestFit="1" customWidth="1"/>
    <col min="14851" max="14854" width="11.5703125" bestFit="1" customWidth="1"/>
    <col min="14855" max="14855" width="10.7109375" bestFit="1" customWidth="1"/>
    <col min="14856" max="14856" width="11.28515625" customWidth="1"/>
    <col min="14857" max="14857" width="11.28515625" bestFit="1" customWidth="1"/>
    <col min="14858" max="14860" width="11.5703125" bestFit="1" customWidth="1"/>
    <col min="14861" max="14861" width="3.42578125" bestFit="1" customWidth="1"/>
    <col min="14862" max="14862" width="11.5703125" bestFit="1" customWidth="1"/>
    <col min="14863" max="14863" width="7.7109375" bestFit="1" customWidth="1"/>
    <col min="14864" max="14864" width="4.7109375" bestFit="1" customWidth="1"/>
    <col min="14865" max="14865" width="5.7109375" customWidth="1"/>
    <col min="14866" max="14866" width="5.28515625" bestFit="1" customWidth="1"/>
    <col min="14867" max="14867" width="17.42578125" bestFit="1" customWidth="1"/>
    <col min="14868" max="14868" width="13" bestFit="1" customWidth="1"/>
    <col min="14869" max="14869" width="24.5703125" bestFit="1" customWidth="1"/>
    <col min="14870" max="14870" width="37.42578125" bestFit="1" customWidth="1"/>
    <col min="14871" max="14871" width="30.7109375" bestFit="1" customWidth="1"/>
    <col min="14872" max="14872" width="21.28515625" bestFit="1" customWidth="1"/>
    <col min="14873" max="14873" width="25.5703125" bestFit="1" customWidth="1"/>
    <col min="14874" max="14874" width="30" bestFit="1" customWidth="1"/>
    <col min="14875" max="14875" width="31.28515625" bestFit="1" customWidth="1"/>
    <col min="14876" max="14876" width="21.7109375" bestFit="1" customWidth="1"/>
    <col min="14877" max="14878" width="21.28515625" bestFit="1" customWidth="1"/>
    <col min="14879" max="14879" width="20.28515625" bestFit="1" customWidth="1"/>
    <col min="15100" max="15100" width="3.7109375" bestFit="1" customWidth="1"/>
    <col min="15101" max="15101" width="5.28515625" bestFit="1" customWidth="1"/>
    <col min="15102" max="15102" width="30.28515625" bestFit="1" customWidth="1"/>
    <col min="15103" max="15103" width="11.5703125" bestFit="1" customWidth="1"/>
    <col min="15104" max="15104" width="10.42578125" bestFit="1" customWidth="1"/>
    <col min="15105" max="15105" width="10.7109375" bestFit="1" customWidth="1"/>
    <col min="15106" max="15106" width="14.7109375" bestFit="1" customWidth="1"/>
    <col min="15107" max="15110" width="11.5703125" bestFit="1" customWidth="1"/>
    <col min="15111" max="15111" width="10.7109375" bestFit="1" customWidth="1"/>
    <col min="15112" max="15112" width="11.28515625" customWidth="1"/>
    <col min="15113" max="15113" width="11.28515625" bestFit="1" customWidth="1"/>
    <col min="15114" max="15116" width="11.5703125" bestFit="1" customWidth="1"/>
    <col min="15117" max="15117" width="3.42578125" bestFit="1" customWidth="1"/>
    <col min="15118" max="15118" width="11.5703125" bestFit="1" customWidth="1"/>
    <col min="15119" max="15119" width="7.7109375" bestFit="1" customWidth="1"/>
    <col min="15120" max="15120" width="4.7109375" bestFit="1" customWidth="1"/>
    <col min="15121" max="15121" width="5.7109375" customWidth="1"/>
    <col min="15122" max="15122" width="5.28515625" bestFit="1" customWidth="1"/>
    <col min="15123" max="15123" width="17.42578125" bestFit="1" customWidth="1"/>
    <col min="15124" max="15124" width="13" bestFit="1" customWidth="1"/>
    <col min="15125" max="15125" width="24.5703125" bestFit="1" customWidth="1"/>
    <col min="15126" max="15126" width="37.42578125" bestFit="1" customWidth="1"/>
    <col min="15127" max="15127" width="30.7109375" bestFit="1" customWidth="1"/>
    <col min="15128" max="15128" width="21.28515625" bestFit="1" customWidth="1"/>
    <col min="15129" max="15129" width="25.5703125" bestFit="1" customWidth="1"/>
    <col min="15130" max="15130" width="30" bestFit="1" customWidth="1"/>
    <col min="15131" max="15131" width="31.28515625" bestFit="1" customWidth="1"/>
    <col min="15132" max="15132" width="21.7109375" bestFit="1" customWidth="1"/>
    <col min="15133" max="15134" width="21.28515625" bestFit="1" customWidth="1"/>
    <col min="15135" max="15135" width="20.28515625" bestFit="1" customWidth="1"/>
    <col min="15356" max="15356" width="3.7109375" bestFit="1" customWidth="1"/>
    <col min="15357" max="15357" width="5.28515625" bestFit="1" customWidth="1"/>
    <col min="15358" max="15358" width="30.28515625" bestFit="1" customWidth="1"/>
    <col min="15359" max="15359" width="11.5703125" bestFit="1" customWidth="1"/>
    <col min="15360" max="15360" width="10.42578125" bestFit="1" customWidth="1"/>
    <col min="15361" max="15361" width="10.7109375" bestFit="1" customWidth="1"/>
    <col min="15362" max="15362" width="14.7109375" bestFit="1" customWidth="1"/>
    <col min="15363" max="15366" width="11.5703125" bestFit="1" customWidth="1"/>
    <col min="15367" max="15367" width="10.7109375" bestFit="1" customWidth="1"/>
    <col min="15368" max="15368" width="11.28515625" customWidth="1"/>
    <col min="15369" max="15369" width="11.28515625" bestFit="1" customWidth="1"/>
    <col min="15370" max="15372" width="11.5703125" bestFit="1" customWidth="1"/>
    <col min="15373" max="15373" width="3.42578125" bestFit="1" customWidth="1"/>
    <col min="15374" max="15374" width="11.5703125" bestFit="1" customWidth="1"/>
    <col min="15375" max="15375" width="7.7109375" bestFit="1" customWidth="1"/>
    <col min="15376" max="15376" width="4.7109375" bestFit="1" customWidth="1"/>
    <col min="15377" max="15377" width="5.7109375" customWidth="1"/>
    <col min="15378" max="15378" width="5.28515625" bestFit="1" customWidth="1"/>
    <col min="15379" max="15379" width="17.42578125" bestFit="1" customWidth="1"/>
    <col min="15380" max="15380" width="13" bestFit="1" customWidth="1"/>
    <col min="15381" max="15381" width="24.5703125" bestFit="1" customWidth="1"/>
    <col min="15382" max="15382" width="37.42578125" bestFit="1" customWidth="1"/>
    <col min="15383" max="15383" width="30.7109375" bestFit="1" customWidth="1"/>
    <col min="15384" max="15384" width="21.28515625" bestFit="1" customWidth="1"/>
    <col min="15385" max="15385" width="25.5703125" bestFit="1" customWidth="1"/>
    <col min="15386" max="15386" width="30" bestFit="1" customWidth="1"/>
    <col min="15387" max="15387" width="31.28515625" bestFit="1" customWidth="1"/>
    <col min="15388" max="15388" width="21.7109375" bestFit="1" customWidth="1"/>
    <col min="15389" max="15390" width="21.28515625" bestFit="1" customWidth="1"/>
    <col min="15391" max="15391" width="20.28515625" bestFit="1" customWidth="1"/>
    <col min="15612" max="15612" width="3.7109375" bestFit="1" customWidth="1"/>
    <col min="15613" max="15613" width="5.28515625" bestFit="1" customWidth="1"/>
    <col min="15614" max="15614" width="30.28515625" bestFit="1" customWidth="1"/>
    <col min="15615" max="15615" width="11.5703125" bestFit="1" customWidth="1"/>
    <col min="15616" max="15616" width="10.42578125" bestFit="1" customWidth="1"/>
    <col min="15617" max="15617" width="10.7109375" bestFit="1" customWidth="1"/>
    <col min="15618" max="15618" width="14.7109375" bestFit="1" customWidth="1"/>
    <col min="15619" max="15622" width="11.5703125" bestFit="1" customWidth="1"/>
    <col min="15623" max="15623" width="10.7109375" bestFit="1" customWidth="1"/>
    <col min="15624" max="15624" width="11.28515625" customWidth="1"/>
    <col min="15625" max="15625" width="11.28515625" bestFit="1" customWidth="1"/>
    <col min="15626" max="15628" width="11.5703125" bestFit="1" customWidth="1"/>
    <col min="15629" max="15629" width="3.42578125" bestFit="1" customWidth="1"/>
    <col min="15630" max="15630" width="11.5703125" bestFit="1" customWidth="1"/>
    <col min="15631" max="15631" width="7.7109375" bestFit="1" customWidth="1"/>
    <col min="15632" max="15632" width="4.7109375" bestFit="1" customWidth="1"/>
    <col min="15633" max="15633" width="5.7109375" customWidth="1"/>
    <col min="15634" max="15634" width="5.28515625" bestFit="1" customWidth="1"/>
    <col min="15635" max="15635" width="17.42578125" bestFit="1" customWidth="1"/>
    <col min="15636" max="15636" width="13" bestFit="1" customWidth="1"/>
    <col min="15637" max="15637" width="24.5703125" bestFit="1" customWidth="1"/>
    <col min="15638" max="15638" width="37.42578125" bestFit="1" customWidth="1"/>
    <col min="15639" max="15639" width="30.7109375" bestFit="1" customWidth="1"/>
    <col min="15640" max="15640" width="21.28515625" bestFit="1" customWidth="1"/>
    <col min="15641" max="15641" width="25.5703125" bestFit="1" customWidth="1"/>
    <col min="15642" max="15642" width="30" bestFit="1" customWidth="1"/>
    <col min="15643" max="15643" width="31.28515625" bestFit="1" customWidth="1"/>
    <col min="15644" max="15644" width="21.7109375" bestFit="1" customWidth="1"/>
    <col min="15645" max="15646" width="21.28515625" bestFit="1" customWidth="1"/>
    <col min="15647" max="15647" width="20.28515625" bestFit="1" customWidth="1"/>
    <col min="15868" max="15868" width="3.7109375" bestFit="1" customWidth="1"/>
    <col min="15869" max="15869" width="5.28515625" bestFit="1" customWidth="1"/>
    <col min="15870" max="15870" width="30.28515625" bestFit="1" customWidth="1"/>
    <col min="15871" max="15871" width="11.5703125" bestFit="1" customWidth="1"/>
    <col min="15872" max="15872" width="10.42578125" bestFit="1" customWidth="1"/>
    <col min="15873" max="15873" width="10.7109375" bestFit="1" customWidth="1"/>
    <col min="15874" max="15874" width="14.7109375" bestFit="1" customWidth="1"/>
    <col min="15875" max="15878" width="11.5703125" bestFit="1" customWidth="1"/>
    <col min="15879" max="15879" width="10.7109375" bestFit="1" customWidth="1"/>
    <col min="15880" max="15880" width="11.28515625" customWidth="1"/>
    <col min="15881" max="15881" width="11.28515625" bestFit="1" customWidth="1"/>
    <col min="15882" max="15884" width="11.5703125" bestFit="1" customWidth="1"/>
    <col min="15885" max="15885" width="3.42578125" bestFit="1" customWidth="1"/>
    <col min="15886" max="15886" width="11.5703125" bestFit="1" customWidth="1"/>
    <col min="15887" max="15887" width="7.7109375" bestFit="1" customWidth="1"/>
    <col min="15888" max="15888" width="4.7109375" bestFit="1" customWidth="1"/>
    <col min="15889" max="15889" width="5.7109375" customWidth="1"/>
    <col min="15890" max="15890" width="5.28515625" bestFit="1" customWidth="1"/>
    <col min="15891" max="15891" width="17.42578125" bestFit="1" customWidth="1"/>
    <col min="15892" max="15892" width="13" bestFit="1" customWidth="1"/>
    <col min="15893" max="15893" width="24.5703125" bestFit="1" customWidth="1"/>
    <col min="15894" max="15894" width="37.42578125" bestFit="1" customWidth="1"/>
    <col min="15895" max="15895" width="30.7109375" bestFit="1" customWidth="1"/>
    <col min="15896" max="15896" width="21.28515625" bestFit="1" customWidth="1"/>
    <col min="15897" max="15897" width="25.5703125" bestFit="1" customWidth="1"/>
    <col min="15898" max="15898" width="30" bestFit="1" customWidth="1"/>
    <col min="15899" max="15899" width="31.28515625" bestFit="1" customWidth="1"/>
    <col min="15900" max="15900" width="21.7109375" bestFit="1" customWidth="1"/>
    <col min="15901" max="15902" width="21.28515625" bestFit="1" customWidth="1"/>
    <col min="15903" max="15903" width="20.28515625" bestFit="1" customWidth="1"/>
    <col min="16124" max="16124" width="3.7109375" bestFit="1" customWidth="1"/>
    <col min="16125" max="16125" width="5.28515625" bestFit="1" customWidth="1"/>
    <col min="16126" max="16126" width="30.28515625" bestFit="1" customWidth="1"/>
    <col min="16127" max="16127" width="11.5703125" bestFit="1" customWidth="1"/>
    <col min="16128" max="16128" width="10.42578125" bestFit="1" customWidth="1"/>
    <col min="16129" max="16129" width="10.7109375" bestFit="1" customWidth="1"/>
    <col min="16130" max="16130" width="14.7109375" bestFit="1" customWidth="1"/>
    <col min="16131" max="16134" width="11.5703125" bestFit="1" customWidth="1"/>
    <col min="16135" max="16135" width="10.7109375" bestFit="1" customWidth="1"/>
    <col min="16136" max="16136" width="11.28515625" customWidth="1"/>
    <col min="16137" max="16137" width="11.28515625" bestFit="1" customWidth="1"/>
    <col min="16138" max="16140" width="11.5703125" bestFit="1" customWidth="1"/>
    <col min="16141" max="16141" width="3.42578125" bestFit="1" customWidth="1"/>
    <col min="16142" max="16142" width="11.5703125" bestFit="1" customWidth="1"/>
    <col min="16143" max="16143" width="7.7109375" bestFit="1" customWidth="1"/>
    <col min="16144" max="16144" width="4.7109375" bestFit="1" customWidth="1"/>
    <col min="16145" max="16145" width="5.7109375" customWidth="1"/>
    <col min="16146" max="16146" width="5.28515625" bestFit="1" customWidth="1"/>
    <col min="16147" max="16147" width="17.42578125" bestFit="1" customWidth="1"/>
    <col min="16148" max="16148" width="13" bestFit="1" customWidth="1"/>
    <col min="16149" max="16149" width="24.5703125" bestFit="1" customWidth="1"/>
    <col min="16150" max="16150" width="37.42578125" bestFit="1" customWidth="1"/>
    <col min="16151" max="16151" width="30.7109375" bestFit="1" customWidth="1"/>
    <col min="16152" max="16152" width="21.28515625" bestFit="1" customWidth="1"/>
    <col min="16153" max="16153" width="25.5703125" bestFit="1" customWidth="1"/>
    <col min="16154" max="16154" width="30" bestFit="1" customWidth="1"/>
    <col min="16155" max="16155" width="31.28515625" bestFit="1" customWidth="1"/>
    <col min="16156" max="16156" width="21.7109375" bestFit="1" customWidth="1"/>
    <col min="16157" max="16158" width="21.28515625" bestFit="1" customWidth="1"/>
    <col min="16159" max="16159" width="20.28515625" bestFit="1" customWidth="1"/>
  </cols>
  <sheetData>
    <row r="2" spans="1:23" ht="19.5" customHeight="1">
      <c r="B2" s="389" t="s">
        <v>242</v>
      </c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  <c r="O2" s="389"/>
      <c r="P2" s="389"/>
      <c r="Q2" s="389"/>
      <c r="R2" s="151"/>
    </row>
    <row r="3" spans="1:23" s="154" customFormat="1">
      <c r="A3" s="150"/>
      <c r="B3" s="390" t="s">
        <v>243</v>
      </c>
      <c r="C3" s="391" t="s">
        <v>4</v>
      </c>
      <c r="D3" s="392" t="s">
        <v>244</v>
      </c>
      <c r="E3" s="393"/>
      <c r="F3" s="393"/>
      <c r="G3" s="393"/>
      <c r="H3" s="393"/>
      <c r="I3" s="394"/>
      <c r="J3" s="392" t="s">
        <v>245</v>
      </c>
      <c r="K3" s="393"/>
      <c r="L3" s="393"/>
      <c r="M3" s="393"/>
      <c r="N3" s="393"/>
      <c r="O3" s="394"/>
      <c r="P3" s="392" t="s">
        <v>246</v>
      </c>
      <c r="Q3" s="394"/>
      <c r="R3" s="153"/>
    </row>
    <row r="4" spans="1:23" ht="76.5" customHeight="1">
      <c r="B4" s="390"/>
      <c r="C4" s="391"/>
      <c r="D4" s="155" t="s">
        <v>247</v>
      </c>
      <c r="E4" s="155" t="s">
        <v>248</v>
      </c>
      <c r="F4" s="155" t="s">
        <v>249</v>
      </c>
      <c r="G4" s="155" t="s">
        <v>250</v>
      </c>
      <c r="H4" s="155" t="s">
        <v>251</v>
      </c>
      <c r="I4" s="155" t="s">
        <v>252</v>
      </c>
      <c r="J4" s="155" t="s">
        <v>253</v>
      </c>
      <c r="K4" s="155" t="s">
        <v>254</v>
      </c>
      <c r="L4" s="155" t="s">
        <v>255</v>
      </c>
      <c r="M4" s="155" t="s">
        <v>256</v>
      </c>
      <c r="N4" s="155" t="s">
        <v>257</v>
      </c>
      <c r="O4" s="155" t="s">
        <v>252</v>
      </c>
      <c r="P4" s="155" t="s">
        <v>258</v>
      </c>
      <c r="Q4" s="155" t="s">
        <v>259</v>
      </c>
      <c r="R4" s="156"/>
      <c r="S4" s="155" t="s">
        <v>304</v>
      </c>
      <c r="T4" s="155" t="s">
        <v>78</v>
      </c>
      <c r="U4" s="155" t="s">
        <v>305</v>
      </c>
      <c r="V4" s="155" t="s">
        <v>306</v>
      </c>
      <c r="W4" s="155" t="s">
        <v>307</v>
      </c>
    </row>
    <row r="5" spans="1:23" hidden="1">
      <c r="B5" s="158"/>
      <c r="C5" s="159"/>
      <c r="D5" s="160" t="s">
        <v>260</v>
      </c>
      <c r="E5" s="160" t="s">
        <v>260</v>
      </c>
      <c r="F5" s="160" t="s">
        <v>260</v>
      </c>
      <c r="G5" s="160" t="s">
        <v>260</v>
      </c>
      <c r="H5" s="160" t="s">
        <v>260</v>
      </c>
      <c r="I5" s="160" t="s">
        <v>260</v>
      </c>
      <c r="J5" s="160" t="s">
        <v>260</v>
      </c>
      <c r="K5" s="160" t="s">
        <v>260</v>
      </c>
      <c r="L5" s="160" t="s">
        <v>260</v>
      </c>
      <c r="M5" s="160" t="s">
        <v>260</v>
      </c>
      <c r="N5" s="160" t="s">
        <v>260</v>
      </c>
      <c r="O5" s="160" t="s">
        <v>260</v>
      </c>
      <c r="P5" s="160" t="s">
        <v>260</v>
      </c>
      <c r="Q5" s="160" t="s">
        <v>260</v>
      </c>
      <c r="R5" s="161"/>
    </row>
    <row r="6" spans="1:23" ht="21.75" customHeight="1">
      <c r="B6" s="158" t="s">
        <v>261</v>
      </c>
      <c r="C6" s="162" t="s">
        <v>262</v>
      </c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63"/>
    </row>
    <row r="7" spans="1:23" ht="21.75" customHeight="1">
      <c r="A7" s="164">
        <v>49</v>
      </c>
      <c r="B7" s="165"/>
      <c r="C7" s="166" t="s">
        <v>263</v>
      </c>
      <c r="D7" s="167">
        <v>8.64</v>
      </c>
      <c r="E7" s="167">
        <v>0</v>
      </c>
      <c r="F7" s="167">
        <v>0</v>
      </c>
      <c r="G7" s="167"/>
      <c r="H7" s="167"/>
      <c r="I7" s="168">
        <v>8.64</v>
      </c>
      <c r="J7" s="167">
        <v>0</v>
      </c>
      <c r="K7" s="167">
        <v>0</v>
      </c>
      <c r="L7" s="167">
        <v>0</v>
      </c>
      <c r="M7" s="167"/>
      <c r="N7" s="167"/>
      <c r="O7" s="168">
        <v>0</v>
      </c>
      <c r="P7" s="167">
        <v>8.64</v>
      </c>
      <c r="Q7" s="167">
        <v>8.64</v>
      </c>
      <c r="R7" s="169"/>
      <c r="V7" s="202">
        <f>J7+S7</f>
        <v>0</v>
      </c>
      <c r="W7" s="202">
        <f>I7-V7</f>
        <v>8.64</v>
      </c>
    </row>
    <row r="8" spans="1:23" ht="21.75" customHeight="1">
      <c r="A8" s="164">
        <v>50</v>
      </c>
      <c r="B8" s="165"/>
      <c r="C8" s="166" t="s">
        <v>264</v>
      </c>
      <c r="D8" s="167">
        <v>383.76</v>
      </c>
      <c r="E8" s="167">
        <v>13.019999999999982</v>
      </c>
      <c r="F8" s="167">
        <v>0</v>
      </c>
      <c r="G8" s="167"/>
      <c r="H8" s="167"/>
      <c r="I8" s="168">
        <v>396.78</v>
      </c>
      <c r="J8" s="167">
        <v>131.5</v>
      </c>
      <c r="K8" s="167">
        <v>12.860000000000014</v>
      </c>
      <c r="L8" s="167">
        <v>0</v>
      </c>
      <c r="M8" s="171"/>
      <c r="N8" s="167"/>
      <c r="O8" s="168">
        <v>144.36000000000001</v>
      </c>
      <c r="P8" s="167">
        <v>252.41999999999996</v>
      </c>
      <c r="Q8" s="167">
        <v>252.26</v>
      </c>
      <c r="R8" s="169"/>
      <c r="S8" s="202">
        <f>D8*'Dep. Schedule'!K15</f>
        <v>5.7564000000000002</v>
      </c>
      <c r="T8" s="229">
        <f t="shared" ref="T8:T18" si="0">S8/D8</f>
        <v>1.5000000000000001E-2</v>
      </c>
      <c r="U8" s="231">
        <f>(I8-D8)*T8</f>
        <v>0.19529999999999975</v>
      </c>
      <c r="V8" s="202">
        <f>J8+S8+U8</f>
        <v>137.45170000000002</v>
      </c>
      <c r="W8" s="202">
        <f t="shared" ref="W8:W20" si="1">I8-V8</f>
        <v>259.32829999999996</v>
      </c>
    </row>
    <row r="9" spans="1:23" ht="21.75" customHeight="1">
      <c r="A9" s="164">
        <v>51</v>
      </c>
      <c r="B9" s="165"/>
      <c r="C9" s="166" t="s">
        <v>265</v>
      </c>
      <c r="D9" s="167">
        <v>229.23</v>
      </c>
      <c r="E9" s="167">
        <v>6.9500000000000171</v>
      </c>
      <c r="F9" s="167">
        <v>0</v>
      </c>
      <c r="G9" s="167"/>
      <c r="H9" s="167"/>
      <c r="I9" s="168">
        <v>236.18</v>
      </c>
      <c r="J9" s="167">
        <v>51.97</v>
      </c>
      <c r="K9" s="167">
        <v>7.7800000000000011</v>
      </c>
      <c r="L9" s="167">
        <v>0</v>
      </c>
      <c r="M9" s="171"/>
      <c r="N9" s="167"/>
      <c r="O9" s="168">
        <v>59.75</v>
      </c>
      <c r="P9" s="167">
        <v>176.43</v>
      </c>
      <c r="Q9" s="167">
        <v>177.26</v>
      </c>
      <c r="R9" s="169"/>
      <c r="S9" s="202">
        <f>D9*'Dep. Schedule'!K20</f>
        <v>6.8769</v>
      </c>
      <c r="T9" s="229">
        <f t="shared" si="0"/>
        <v>3.0000000000000002E-2</v>
      </c>
      <c r="U9" s="231">
        <f t="shared" ref="U9:U17" si="2">(I9-D9)*T9</f>
        <v>0.20850000000000052</v>
      </c>
      <c r="V9" s="202">
        <f t="shared" ref="V9:V17" si="3">J9+S9+U9</f>
        <v>59.055399999999999</v>
      </c>
      <c r="W9" s="202">
        <f t="shared" si="1"/>
        <v>177.12460000000002</v>
      </c>
    </row>
    <row r="10" spans="1:23" ht="21.75" customHeight="1">
      <c r="A10" s="164">
        <v>52</v>
      </c>
      <c r="B10" s="165"/>
      <c r="C10" s="166" t="s">
        <v>266</v>
      </c>
      <c r="D10" s="167">
        <v>9719.32</v>
      </c>
      <c r="E10" s="167">
        <v>797.77000000000044</v>
      </c>
      <c r="F10" s="171">
        <v>3.08</v>
      </c>
      <c r="G10" s="167"/>
      <c r="H10" s="167"/>
      <c r="I10" s="168">
        <v>10514.01</v>
      </c>
      <c r="J10" s="167">
        <v>5104.43</v>
      </c>
      <c r="K10" s="167">
        <v>399.90999999999963</v>
      </c>
      <c r="L10" s="167">
        <v>2.5099999999999998</v>
      </c>
      <c r="M10" s="171"/>
      <c r="N10" s="167"/>
      <c r="O10" s="168">
        <v>5501.83</v>
      </c>
      <c r="P10" s="167">
        <v>5012.18</v>
      </c>
      <c r="Q10" s="167">
        <v>4614.8899999999994</v>
      </c>
      <c r="R10" s="169"/>
      <c r="S10" s="202">
        <f>D10*'Dep. Schedule'!N29</f>
        <v>583.15920000000006</v>
      </c>
      <c r="T10" s="229">
        <f t="shared" si="0"/>
        <v>6.0000000000000005E-2</v>
      </c>
      <c r="U10" s="231">
        <f t="shared" si="2"/>
        <v>47.681400000000032</v>
      </c>
      <c r="V10" s="202">
        <f t="shared" si="3"/>
        <v>5735.2706000000007</v>
      </c>
      <c r="W10" s="202">
        <f t="shared" si="1"/>
        <v>4778.7393999999995</v>
      </c>
    </row>
    <row r="11" spans="1:23" ht="21.75" customHeight="1">
      <c r="A11" s="164">
        <v>53</v>
      </c>
      <c r="B11" s="165"/>
      <c r="C11" s="166" t="s">
        <v>267</v>
      </c>
      <c r="D11" s="167">
        <v>9503.4</v>
      </c>
      <c r="E11" s="167">
        <v>804.96000000000095</v>
      </c>
      <c r="F11" s="167">
        <v>0</v>
      </c>
      <c r="G11" s="167"/>
      <c r="H11" s="167"/>
      <c r="I11" s="168">
        <v>10308.36</v>
      </c>
      <c r="J11" s="167">
        <v>4500.63</v>
      </c>
      <c r="K11" s="167">
        <v>407.68000000000029</v>
      </c>
      <c r="L11" s="167">
        <v>0</v>
      </c>
      <c r="M11" s="171"/>
      <c r="N11" s="167"/>
      <c r="O11" s="168">
        <v>4908.3100000000004</v>
      </c>
      <c r="P11" s="167">
        <v>5400.05</v>
      </c>
      <c r="Q11" s="167">
        <v>5002.7699999999995</v>
      </c>
      <c r="R11" s="169"/>
      <c r="S11" s="202">
        <f>D11*'Dep. Schedule'!N35</f>
        <v>380.13599999999997</v>
      </c>
      <c r="T11" s="229">
        <f t="shared" si="0"/>
        <v>0.04</v>
      </c>
      <c r="U11" s="231">
        <f t="shared" si="2"/>
        <v>32.198400000000035</v>
      </c>
      <c r="V11" s="202">
        <f t="shared" si="3"/>
        <v>4912.9643999999998</v>
      </c>
      <c r="W11" s="202">
        <f t="shared" si="1"/>
        <v>5395.3956000000007</v>
      </c>
    </row>
    <row r="12" spans="1:23" ht="21.75" customHeight="1">
      <c r="A12" s="164">
        <v>54</v>
      </c>
      <c r="B12" s="165"/>
      <c r="C12" s="166" t="s">
        <v>268</v>
      </c>
      <c r="D12" s="167">
        <v>1994.68</v>
      </c>
      <c r="E12" s="167">
        <v>146.87000000000012</v>
      </c>
      <c r="F12" s="171">
        <v>19.940000000000001</v>
      </c>
      <c r="G12" s="167"/>
      <c r="H12" s="167"/>
      <c r="I12" s="168">
        <v>2121.61</v>
      </c>
      <c r="J12" s="167">
        <v>1197.48</v>
      </c>
      <c r="K12" s="167">
        <v>60.019999999999946</v>
      </c>
      <c r="L12" s="167">
        <v>15.21</v>
      </c>
      <c r="M12" s="171"/>
      <c r="N12" s="167"/>
      <c r="O12" s="167">
        <v>1242.29</v>
      </c>
      <c r="P12" s="167">
        <v>879.32000000000016</v>
      </c>
      <c r="Q12" s="167">
        <v>797.2</v>
      </c>
      <c r="R12" s="169"/>
      <c r="S12" s="202">
        <f>D12*'Dep. Schedule'!K39</f>
        <v>179.52119999999999</v>
      </c>
      <c r="T12" s="229">
        <f t="shared" si="0"/>
        <v>0.09</v>
      </c>
      <c r="U12" s="231">
        <f t="shared" si="2"/>
        <v>11.423700000000006</v>
      </c>
      <c r="V12" s="202">
        <f t="shared" si="3"/>
        <v>1388.4249</v>
      </c>
      <c r="W12" s="202">
        <f t="shared" si="1"/>
        <v>733.18510000000015</v>
      </c>
    </row>
    <row r="13" spans="1:23" ht="21.75" customHeight="1">
      <c r="A13" s="164">
        <v>55</v>
      </c>
      <c r="B13" s="165"/>
      <c r="C13" s="166" t="s">
        <v>269</v>
      </c>
      <c r="D13" s="167">
        <v>7.36</v>
      </c>
      <c r="E13" s="167">
        <v>0</v>
      </c>
      <c r="F13" s="167">
        <v>0</v>
      </c>
      <c r="G13" s="167"/>
      <c r="H13" s="167"/>
      <c r="I13" s="168">
        <v>7.36</v>
      </c>
      <c r="J13" s="167">
        <v>6.39</v>
      </c>
      <c r="K13" s="167">
        <v>2.0000000000000462E-2</v>
      </c>
      <c r="L13" s="167">
        <v>0</v>
      </c>
      <c r="M13" s="167"/>
      <c r="N13" s="167"/>
      <c r="O13" s="168">
        <v>6.41</v>
      </c>
      <c r="P13" s="167">
        <v>0.95000000000000018</v>
      </c>
      <c r="Q13" s="167">
        <v>0.97000000000000064</v>
      </c>
      <c r="R13" s="169"/>
      <c r="S13" s="228">
        <f>K13</f>
        <v>2.0000000000000462E-2</v>
      </c>
      <c r="T13" s="229">
        <f t="shared" si="0"/>
        <v>2.7173913043478889E-3</v>
      </c>
      <c r="U13" s="231">
        <f t="shared" si="2"/>
        <v>0</v>
      </c>
      <c r="V13" s="202">
        <f t="shared" si="3"/>
        <v>6.41</v>
      </c>
      <c r="W13" s="202">
        <f t="shared" si="1"/>
        <v>0.95000000000000018</v>
      </c>
    </row>
    <row r="14" spans="1:23" ht="21.75" customHeight="1">
      <c r="A14" s="164">
        <v>56</v>
      </c>
      <c r="B14" s="165"/>
      <c r="C14" s="166" t="s">
        <v>270</v>
      </c>
      <c r="D14" s="167">
        <v>18.600000000000001</v>
      </c>
      <c r="E14" s="167">
        <v>0.63999999999999702</v>
      </c>
      <c r="F14" s="167">
        <v>0</v>
      </c>
      <c r="G14" s="167"/>
      <c r="H14" s="167"/>
      <c r="I14" s="168">
        <v>19.239999999999998</v>
      </c>
      <c r="J14" s="167">
        <v>12.05</v>
      </c>
      <c r="K14" s="167">
        <v>0.62999999999999901</v>
      </c>
      <c r="L14" s="167">
        <v>0</v>
      </c>
      <c r="M14" s="167"/>
      <c r="N14" s="167"/>
      <c r="O14" s="168">
        <v>12.68</v>
      </c>
      <c r="P14" s="167">
        <v>6.5599999999999987</v>
      </c>
      <c r="Q14" s="167">
        <v>6.5500000000000007</v>
      </c>
      <c r="R14" s="169"/>
      <c r="S14" s="202">
        <f>D14*'Dep. Schedule'!K45</f>
        <v>1.6740000000000002</v>
      </c>
      <c r="T14" s="229">
        <f t="shared" si="0"/>
        <v>0.09</v>
      </c>
      <c r="U14" s="231">
        <f t="shared" si="2"/>
        <v>5.7599999999999728E-2</v>
      </c>
      <c r="V14" s="202">
        <f t="shared" si="3"/>
        <v>13.781599999999999</v>
      </c>
      <c r="W14" s="202">
        <f t="shared" si="1"/>
        <v>5.4583999999999993</v>
      </c>
    </row>
    <row r="15" spans="1:23" ht="21.75" customHeight="1">
      <c r="A15" s="164">
        <v>57</v>
      </c>
      <c r="B15" s="165"/>
      <c r="C15" s="166" t="s">
        <v>271</v>
      </c>
      <c r="D15" s="167">
        <v>57.739999999999995</v>
      </c>
      <c r="E15" s="167">
        <v>2.470000000000006</v>
      </c>
      <c r="F15" s="167">
        <v>0.03</v>
      </c>
      <c r="G15" s="167"/>
      <c r="H15" s="167"/>
      <c r="I15" s="168">
        <v>60.18</v>
      </c>
      <c r="J15" s="167">
        <v>34.629999999999995</v>
      </c>
      <c r="K15" s="167">
        <v>2.1600000000000006</v>
      </c>
      <c r="L15" s="167">
        <v>0.02</v>
      </c>
      <c r="M15" s="167"/>
      <c r="N15" s="167"/>
      <c r="O15" s="168">
        <v>36.769999999999996</v>
      </c>
      <c r="P15" s="167">
        <v>23.410000000000004</v>
      </c>
      <c r="Q15" s="167">
        <v>23.11</v>
      </c>
      <c r="R15" s="169"/>
      <c r="S15" s="202">
        <f>D15*'Dep. Schedule'!K46</f>
        <v>5.1965999999999992</v>
      </c>
      <c r="T15" s="229">
        <f t="shared" si="0"/>
        <v>0.09</v>
      </c>
      <c r="U15" s="231">
        <f t="shared" si="2"/>
        <v>0.21960000000000043</v>
      </c>
      <c r="V15" s="202">
        <f t="shared" si="3"/>
        <v>40.046199999999992</v>
      </c>
      <c r="W15" s="202">
        <f t="shared" si="1"/>
        <v>20.133800000000008</v>
      </c>
    </row>
    <row r="16" spans="1:23" ht="21.75" customHeight="1">
      <c r="A16" s="164">
        <v>58</v>
      </c>
      <c r="B16" s="165"/>
      <c r="C16" s="166" t="s">
        <v>272</v>
      </c>
      <c r="D16" s="167">
        <v>2.77</v>
      </c>
      <c r="E16" s="167">
        <v>6.999999999999984E-2</v>
      </c>
      <c r="F16" s="167">
        <v>0</v>
      </c>
      <c r="G16" s="167"/>
      <c r="H16" s="167"/>
      <c r="I16" s="168">
        <v>2.84</v>
      </c>
      <c r="J16" s="167">
        <v>1.77</v>
      </c>
      <c r="K16" s="167">
        <v>7.0000000000000062E-2</v>
      </c>
      <c r="L16" s="167">
        <v>0</v>
      </c>
      <c r="M16" s="167"/>
      <c r="N16" s="167"/>
      <c r="O16" s="168">
        <v>1.84</v>
      </c>
      <c r="P16" s="167">
        <v>0.99999999999999978</v>
      </c>
      <c r="Q16" s="167">
        <v>1</v>
      </c>
      <c r="R16" s="169"/>
      <c r="S16" s="202">
        <f>D16*'Dep. Schedule'!K42</f>
        <v>0.24929999999999999</v>
      </c>
      <c r="T16" s="229">
        <f t="shared" si="0"/>
        <v>0.09</v>
      </c>
      <c r="U16" s="231">
        <f t="shared" si="2"/>
        <v>6.2999999999999853E-3</v>
      </c>
      <c r="V16" s="202">
        <f t="shared" si="3"/>
        <v>2.0255999999999998</v>
      </c>
      <c r="W16" s="202">
        <f t="shared" si="1"/>
        <v>0.81440000000000001</v>
      </c>
    </row>
    <row r="17" spans="1:24" ht="21.75" customHeight="1">
      <c r="A17" s="164">
        <v>59</v>
      </c>
      <c r="B17" s="165"/>
      <c r="C17" s="166" t="s">
        <v>273</v>
      </c>
      <c r="D17" s="167">
        <v>200.11</v>
      </c>
      <c r="E17" s="167">
        <v>2.4099999999999966</v>
      </c>
      <c r="F17" s="167">
        <v>0</v>
      </c>
      <c r="G17" s="167"/>
      <c r="H17" s="171"/>
      <c r="I17" s="168">
        <v>202.52</v>
      </c>
      <c r="J17" s="167">
        <v>158.15</v>
      </c>
      <c r="K17" s="167">
        <v>12.199999999999989</v>
      </c>
      <c r="L17" s="167">
        <v>0</v>
      </c>
      <c r="M17" s="171"/>
      <c r="N17" s="167"/>
      <c r="O17" s="168">
        <v>170.35</v>
      </c>
      <c r="P17" s="167">
        <v>32.170000000000016</v>
      </c>
      <c r="Q17" s="167">
        <v>41.960000000000008</v>
      </c>
      <c r="R17" s="169"/>
      <c r="S17" s="202">
        <f>D17*'Dep. Schedule'!K53</f>
        <v>30.016500000000001</v>
      </c>
      <c r="T17" s="229">
        <f t="shared" si="0"/>
        <v>0.15</v>
      </c>
      <c r="U17" s="231">
        <f t="shared" si="2"/>
        <v>0.36149999999999949</v>
      </c>
      <c r="V17" s="202">
        <f t="shared" si="3"/>
        <v>188.52800000000002</v>
      </c>
      <c r="W17" s="202">
        <f t="shared" si="1"/>
        <v>13.99199999999999</v>
      </c>
    </row>
    <row r="18" spans="1:24" ht="21.75" customHeight="1">
      <c r="A18" s="164"/>
      <c r="B18" s="165"/>
      <c r="C18" s="174" t="s">
        <v>274</v>
      </c>
      <c r="D18" s="175">
        <v>22125.61</v>
      </c>
      <c r="E18" s="175">
        <v>1775.1600000000017</v>
      </c>
      <c r="F18" s="175">
        <v>23.050000000000004</v>
      </c>
      <c r="G18" s="175">
        <v>0</v>
      </c>
      <c r="H18" s="175">
        <v>0</v>
      </c>
      <c r="I18" s="175">
        <f>D18+E18-F18</f>
        <v>23877.720000000005</v>
      </c>
      <c r="J18" s="175">
        <v>11198.999999999998</v>
      </c>
      <c r="K18" s="175">
        <v>903.32999999999993</v>
      </c>
      <c r="L18" s="175">
        <v>17.739999999999998</v>
      </c>
      <c r="M18" s="175">
        <v>0</v>
      </c>
      <c r="N18" s="175">
        <v>0</v>
      </c>
      <c r="O18" s="175">
        <f>J18+K18-L18</f>
        <v>12084.589999999998</v>
      </c>
      <c r="P18" s="175">
        <v>11793.130000000001</v>
      </c>
      <c r="Q18" s="175">
        <v>10926.609999999999</v>
      </c>
      <c r="R18" s="176"/>
      <c r="S18" s="26">
        <f>SUM(S7:S17)</f>
        <v>1192.6060999999997</v>
      </c>
      <c r="T18" s="229">
        <f t="shared" si="0"/>
        <v>5.3901614463962785E-2</v>
      </c>
      <c r="U18" s="26">
        <f>SUM(U8:U17)</f>
        <v>92.352300000000071</v>
      </c>
      <c r="V18" s="202">
        <f>SUM(V7:V17)</f>
        <v>12483.958400000001</v>
      </c>
      <c r="W18" s="202">
        <f>SUM(W7:W17)</f>
        <v>11393.7616</v>
      </c>
      <c r="X18" s="202">
        <f>((J18-S18)+(E18-U18))-0</f>
        <v>11689.2016</v>
      </c>
    </row>
    <row r="19" spans="1:24" ht="21.75" customHeight="1">
      <c r="A19" s="164"/>
      <c r="B19" s="165" t="s">
        <v>275</v>
      </c>
      <c r="C19" s="178" t="s">
        <v>276</v>
      </c>
      <c r="D19" s="175"/>
      <c r="E19" s="175"/>
      <c r="F19" s="175"/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6"/>
    </row>
    <row r="20" spans="1:24" ht="21.75" customHeight="1">
      <c r="A20" s="164">
        <v>61</v>
      </c>
      <c r="B20"/>
      <c r="C20" s="179" t="s">
        <v>277</v>
      </c>
      <c r="D20" s="167">
        <v>70.8</v>
      </c>
      <c r="E20" s="167">
        <v>0</v>
      </c>
      <c r="F20" s="175">
        <v>0</v>
      </c>
      <c r="G20" s="167"/>
      <c r="H20" s="175"/>
      <c r="I20" s="167">
        <v>70.8</v>
      </c>
      <c r="J20" s="180">
        <v>53.77</v>
      </c>
      <c r="K20" s="167">
        <v>4.509999999999998</v>
      </c>
      <c r="L20" s="175"/>
      <c r="M20" s="175"/>
      <c r="N20" s="175"/>
      <c r="O20" s="167">
        <v>58.28</v>
      </c>
      <c r="P20" s="167">
        <v>12.519999999999996</v>
      </c>
      <c r="Q20" s="167">
        <v>17.029999999999994</v>
      </c>
      <c r="R20" s="169">
        <f>+Q20/10000000</f>
        <v>1.7029999999999994E-6</v>
      </c>
      <c r="S20" s="202">
        <f>D20*'Dep. Schedule'!K54</f>
        <v>12.744</v>
      </c>
      <c r="T20" s="229">
        <f>S20/D20</f>
        <v>0.18</v>
      </c>
      <c r="U20" s="231">
        <f t="shared" ref="U20" si="4">(I20-D20)*T20</f>
        <v>0</v>
      </c>
      <c r="V20" s="202">
        <f t="shared" ref="V20" si="5">J20+S20+U20</f>
        <v>66.51400000000001</v>
      </c>
      <c r="W20" s="202">
        <f t="shared" si="1"/>
        <v>4.2859999999999872</v>
      </c>
    </row>
    <row r="21" spans="1:24" s="36" customFormat="1" ht="21.75" customHeight="1">
      <c r="A21" s="164"/>
      <c r="B21" s="165"/>
      <c r="C21" s="174" t="s">
        <v>274</v>
      </c>
      <c r="D21" s="175">
        <v>70.8</v>
      </c>
      <c r="E21" s="175">
        <v>0</v>
      </c>
      <c r="F21" s="175">
        <v>0</v>
      </c>
      <c r="G21" s="175">
        <v>0</v>
      </c>
      <c r="H21" s="175">
        <v>0</v>
      </c>
      <c r="I21" s="175">
        <f>D21+E21-F21</f>
        <v>70.8</v>
      </c>
      <c r="J21" s="175">
        <v>53.77</v>
      </c>
      <c r="K21" s="175">
        <v>4.509999999999998</v>
      </c>
      <c r="L21" s="175">
        <v>0</v>
      </c>
      <c r="M21" s="175">
        <v>0</v>
      </c>
      <c r="N21" s="175">
        <v>0</v>
      </c>
      <c r="O21" s="175">
        <f>J21+K21-L21</f>
        <v>58.28</v>
      </c>
      <c r="P21" s="175">
        <v>12.519999999999996</v>
      </c>
      <c r="Q21" s="175">
        <v>17.029999999999994</v>
      </c>
      <c r="R21" s="176"/>
      <c r="S21" s="232"/>
    </row>
    <row r="22" spans="1:24" ht="21.75" customHeight="1">
      <c r="A22" s="164">
        <v>81</v>
      </c>
      <c r="B22" s="165" t="s">
        <v>278</v>
      </c>
      <c r="C22" s="178" t="s">
        <v>279</v>
      </c>
      <c r="D22" s="167">
        <v>1128.78</v>
      </c>
      <c r="E22" s="167">
        <v>2006.5399999999997</v>
      </c>
      <c r="F22" s="167">
        <v>1851.77</v>
      </c>
      <c r="G22" s="167"/>
      <c r="H22" s="175"/>
      <c r="I22" s="167">
        <v>1283.55</v>
      </c>
      <c r="J22" s="167">
        <v>0</v>
      </c>
      <c r="K22" s="167">
        <v>0</v>
      </c>
      <c r="L22" s="175"/>
      <c r="M22" s="175"/>
      <c r="N22" s="175"/>
      <c r="O22" s="168">
        <v>0</v>
      </c>
      <c r="P22" s="167">
        <v>1283.55</v>
      </c>
      <c r="Q22" s="167">
        <v>1128.78</v>
      </c>
      <c r="R22" s="169">
        <f>+Q22/10000000</f>
        <v>1.12878E-4</v>
      </c>
    </row>
    <row r="23" spans="1:24" s="36" customFormat="1" ht="21.75" customHeight="1">
      <c r="A23" s="164"/>
      <c r="B23" s="165"/>
      <c r="C23" s="174" t="s">
        <v>274</v>
      </c>
      <c r="D23" s="175">
        <v>1128.78</v>
      </c>
      <c r="E23" s="175">
        <v>2006.5399999999997</v>
      </c>
      <c r="F23" s="175">
        <v>1851.77</v>
      </c>
      <c r="G23" s="175">
        <v>0</v>
      </c>
      <c r="H23" s="175">
        <v>0</v>
      </c>
      <c r="I23" s="175">
        <f>D23+E23-F23</f>
        <v>1283.5499999999997</v>
      </c>
      <c r="J23" s="175">
        <v>0</v>
      </c>
      <c r="K23" s="175">
        <v>0</v>
      </c>
      <c r="L23" s="175">
        <v>0</v>
      </c>
      <c r="M23" s="175">
        <v>0</v>
      </c>
      <c r="N23" s="175">
        <v>0</v>
      </c>
      <c r="O23" s="175">
        <v>0</v>
      </c>
      <c r="P23" s="175">
        <v>1283.55</v>
      </c>
      <c r="Q23" s="175">
        <v>1128.78</v>
      </c>
      <c r="R23" s="176"/>
    </row>
    <row r="24" spans="1:24" ht="21.75" customHeight="1">
      <c r="A24" s="164"/>
      <c r="B24" s="165" t="s">
        <v>280</v>
      </c>
      <c r="C24" s="174" t="s">
        <v>281</v>
      </c>
      <c r="D24" s="175">
        <v>23325.19</v>
      </c>
      <c r="E24" s="175">
        <v>3781.7000000000016</v>
      </c>
      <c r="F24" s="175">
        <v>1874.82</v>
      </c>
      <c r="G24" s="175">
        <v>0</v>
      </c>
      <c r="H24" s="175">
        <v>0</v>
      </c>
      <c r="I24" s="175">
        <f>D24+E24-F24</f>
        <v>25232.07</v>
      </c>
      <c r="J24" s="175">
        <v>11252.769999999999</v>
      </c>
      <c r="K24" s="175">
        <v>907.83999999999992</v>
      </c>
      <c r="L24" s="175">
        <v>17.739999999999998</v>
      </c>
      <c r="M24" s="175">
        <v>0</v>
      </c>
      <c r="N24" s="175">
        <v>0</v>
      </c>
      <c r="O24" s="175">
        <f>J24+K24-L24</f>
        <v>12142.869999999999</v>
      </c>
      <c r="P24" s="175">
        <v>13089.2</v>
      </c>
      <c r="Q24" s="175">
        <v>12072.42</v>
      </c>
      <c r="R24" s="176"/>
      <c r="S24" s="202">
        <f>S18+S20</f>
        <v>1205.3500999999997</v>
      </c>
      <c r="U24" s="202">
        <f>U18+U20</f>
        <v>92.352300000000071</v>
      </c>
      <c r="V24" s="202">
        <f>V18+V20</f>
        <v>12550.472400000001</v>
      </c>
      <c r="W24" s="202">
        <f>W18+W20</f>
        <v>11398.0476</v>
      </c>
    </row>
    <row r="25" spans="1:24" s="187" customFormat="1" ht="21.75" customHeight="1">
      <c r="A25" s="181"/>
      <c r="B25" s="165"/>
      <c r="C25" s="182" t="s">
        <v>282</v>
      </c>
      <c r="D25" s="183">
        <v>21639.860000000004</v>
      </c>
      <c r="E25" s="184">
        <v>3526.7299999999987</v>
      </c>
      <c r="F25" s="184">
        <v>1841.4</v>
      </c>
      <c r="G25" s="184">
        <v>0</v>
      </c>
      <c r="H25" s="184">
        <v>0</v>
      </c>
      <c r="I25" s="175">
        <f>D25+E25-F25</f>
        <v>23325.190000000002</v>
      </c>
      <c r="J25" s="183">
        <v>10423.32</v>
      </c>
      <c r="K25" s="184">
        <v>842.12999999999988</v>
      </c>
      <c r="L25" s="184">
        <v>12.68</v>
      </c>
      <c r="M25" s="184">
        <v>0</v>
      </c>
      <c r="N25" s="184">
        <v>0</v>
      </c>
      <c r="O25" s="175">
        <f>J25+K25-L25</f>
        <v>11252.769999999999</v>
      </c>
      <c r="P25" s="184">
        <v>12072.42</v>
      </c>
      <c r="Q25" s="184">
        <v>11216.539999999997</v>
      </c>
      <c r="R25" s="185"/>
    </row>
    <row r="26" spans="1:24" s="187" customFormat="1" ht="21.75" customHeight="1">
      <c r="A26" s="188"/>
      <c r="B26" s="388"/>
      <c r="C26" s="388"/>
      <c r="D26" s="388"/>
      <c r="E26" s="388"/>
      <c r="F26" s="388"/>
      <c r="G26" s="388"/>
      <c r="H26" s="388"/>
      <c r="I26" s="388"/>
      <c r="J26" s="388"/>
      <c r="K26" s="388"/>
      <c r="L26" s="388"/>
      <c r="M26" s="388"/>
      <c r="N26" s="388"/>
      <c r="O26" s="388"/>
      <c r="P26" s="388"/>
      <c r="Q26" s="388"/>
      <c r="R26" s="189"/>
    </row>
    <row r="27" spans="1:24">
      <c r="A27" s="191"/>
      <c r="C27" s="22" t="s">
        <v>284</v>
      </c>
      <c r="D27" s="193">
        <f>D18+D21</f>
        <v>22196.41</v>
      </c>
      <c r="F27" s="195"/>
      <c r="G27" s="195"/>
      <c r="H27" s="195"/>
      <c r="I27" s="157"/>
      <c r="J27" s="157"/>
      <c r="K27" s="26">
        <f>K24-L24</f>
        <v>890.09999999999991</v>
      </c>
    </row>
    <row r="28" spans="1:24">
      <c r="A28" s="191"/>
      <c r="C28" s="22" t="s">
        <v>285</v>
      </c>
      <c r="D28" s="193">
        <f>I18+I21</f>
        <v>23948.520000000004</v>
      </c>
      <c r="E28" s="196"/>
      <c r="I28" s="157"/>
      <c r="K28" s="197"/>
      <c r="L28" s="157"/>
      <c r="P28" s="198"/>
    </row>
    <row r="29" spans="1:24">
      <c r="A29" s="191"/>
      <c r="C29" s="22" t="s">
        <v>286</v>
      </c>
      <c r="D29" s="193">
        <f>J18+J21</f>
        <v>11252.769999999999</v>
      </c>
      <c r="F29" s="195"/>
      <c r="G29" s="195"/>
      <c r="H29" s="195"/>
      <c r="K29" s="26"/>
      <c r="L29" s="157"/>
      <c r="N29" s="199"/>
      <c r="O29" s="200"/>
      <c r="P29" s="157"/>
    </row>
    <row r="30" spans="1:24">
      <c r="A30" s="191"/>
      <c r="C30" s="22" t="s">
        <v>287</v>
      </c>
      <c r="D30" s="193">
        <f>V24</f>
        <v>12550.472400000001</v>
      </c>
      <c r="E30" s="201"/>
      <c r="F30" s="196"/>
      <c r="G30" s="196"/>
      <c r="H30" s="196"/>
      <c r="I30" s="195"/>
      <c r="K30" s="26"/>
      <c r="L30" s="157"/>
      <c r="N30" s="199"/>
      <c r="O30" s="202"/>
    </row>
    <row r="31" spans="1:24">
      <c r="C31" s="22" t="s">
        <v>288</v>
      </c>
      <c r="D31" s="193">
        <f>'[23]CC Assets'!G17</f>
        <v>7599.8422141730025</v>
      </c>
      <c r="F31" s="195"/>
      <c r="H31" s="196"/>
      <c r="K31" s="26"/>
      <c r="L31" s="157"/>
    </row>
    <row r="32" spans="1:24">
      <c r="C32" s="22" t="s">
        <v>289</v>
      </c>
      <c r="D32" s="193">
        <f>'[23]CC Assets'!G18</f>
        <v>8614.4570634920019</v>
      </c>
      <c r="E32" s="203">
        <f>D32-D31</f>
        <v>1014.6148493189994</v>
      </c>
      <c r="F32" s="195"/>
      <c r="H32" s="196"/>
      <c r="K32" s="26"/>
      <c r="L32" s="157"/>
    </row>
    <row r="33" spans="1:16">
      <c r="A33" s="191"/>
      <c r="C33" s="22" t="s">
        <v>290</v>
      </c>
      <c r="D33" s="84">
        <f>'[23]CONSOLE SUMMARY'!E31</f>
        <v>3693.4126026258423</v>
      </c>
      <c r="E33" s="203">
        <f>D29-D33</f>
        <v>7559.3573973741568</v>
      </c>
      <c r="F33" s="195"/>
      <c r="G33"/>
      <c r="H33"/>
      <c r="I33" s="200"/>
      <c r="J33" s="200"/>
      <c r="K33" s="26"/>
      <c r="L33" s="157"/>
      <c r="P33" s="157"/>
    </row>
    <row r="34" spans="1:16">
      <c r="C34" s="22" t="s">
        <v>291</v>
      </c>
      <c r="D34" s="193">
        <f>'[23]CONSOLE SUMMARY'!E32</f>
        <v>4121.9448333691071</v>
      </c>
      <c r="F34" s="195"/>
      <c r="G34"/>
      <c r="H34"/>
      <c r="I34" s="200"/>
      <c r="J34" s="200"/>
      <c r="K34" s="26"/>
      <c r="L34" s="200"/>
      <c r="P34" s="198"/>
    </row>
    <row r="35" spans="1:16">
      <c r="A35" s="191"/>
      <c r="C35" s="22" t="s">
        <v>292</v>
      </c>
      <c r="D35" s="193">
        <f>D28-D27</f>
        <v>1752.1100000000042</v>
      </c>
      <c r="E35" s="203"/>
      <c r="G35" s="200"/>
      <c r="H35" s="200"/>
      <c r="I35" s="200"/>
      <c r="J35" s="200"/>
    </row>
    <row r="36" spans="1:16">
      <c r="C36" s="22" t="s">
        <v>293</v>
      </c>
      <c r="D36" s="193">
        <f>K25-L25</f>
        <v>829.44999999999993</v>
      </c>
      <c r="G36"/>
      <c r="H36"/>
      <c r="I36" s="200"/>
      <c r="J36" s="200"/>
      <c r="K36" s="204"/>
    </row>
    <row r="37" spans="1:16">
      <c r="C37" s="22" t="s">
        <v>294</v>
      </c>
      <c r="D37" s="193">
        <f>D30-D29</f>
        <v>1297.7024000000019</v>
      </c>
      <c r="G37"/>
      <c r="H37"/>
      <c r="I37" s="200"/>
      <c r="J37" s="200"/>
      <c r="K37" s="205"/>
    </row>
    <row r="38" spans="1:16">
      <c r="A38" s="191"/>
      <c r="C38" s="22" t="s">
        <v>295</v>
      </c>
      <c r="D38" s="193">
        <v>378.52</v>
      </c>
      <c r="G38"/>
      <c r="H38"/>
      <c r="I38" s="200"/>
      <c r="J38" s="200"/>
    </row>
    <row r="39" spans="1:16">
      <c r="C39" s="22" t="s">
        <v>296</v>
      </c>
      <c r="D39" s="193">
        <v>428.53</v>
      </c>
      <c r="G39"/>
      <c r="H39"/>
      <c r="I39" s="200"/>
      <c r="J39" s="157"/>
    </row>
    <row r="40" spans="1:16">
      <c r="C40" s="22" t="s">
        <v>297</v>
      </c>
      <c r="D40" s="193">
        <f>J24</f>
        <v>11252.769999999999</v>
      </c>
      <c r="G40"/>
      <c r="H40"/>
      <c r="I40" s="200"/>
      <c r="J40" s="157"/>
    </row>
    <row r="41" spans="1:16">
      <c r="C41" s="22" t="s">
        <v>298</v>
      </c>
      <c r="D41" s="193">
        <f>D40+K24-L24</f>
        <v>12142.869999999999</v>
      </c>
      <c r="G41"/>
      <c r="H41"/>
      <c r="I41" s="200"/>
      <c r="J41" s="202"/>
    </row>
    <row r="42" spans="1:16">
      <c r="C42" s="22" t="s">
        <v>299</v>
      </c>
      <c r="D42" s="193">
        <f>'[23]Fully Depreciated Assets'!F36</f>
        <v>540.61047804099996</v>
      </c>
      <c r="E42" s="203">
        <f>D42-D44</f>
        <v>530.0322854945</v>
      </c>
      <c r="G42" s="26"/>
      <c r="H42"/>
      <c r="I42" s="200"/>
      <c r="J42" s="157"/>
    </row>
    <row r="43" spans="1:16">
      <c r="C43" s="22" t="s">
        <v>300</v>
      </c>
      <c r="D43" s="193">
        <f>'[23]Fully Depreciated Assets'!G36</f>
        <v>595.29397093699993</v>
      </c>
      <c r="E43" s="203">
        <f>D43-D45</f>
        <v>574.52456439769992</v>
      </c>
      <c r="G43" s="26"/>
      <c r="H43"/>
      <c r="I43" s="200"/>
      <c r="J43" s="157"/>
    </row>
    <row r="44" spans="1:16">
      <c r="C44" s="22" t="s">
        <v>301</v>
      </c>
      <c r="D44" s="193">
        <f>'[23]fully dep CC assets'!F24</f>
        <v>10.578192546499952</v>
      </c>
      <c r="E44" s="203" t="s">
        <v>308</v>
      </c>
      <c r="G44"/>
      <c r="H44"/>
      <c r="I44" s="200"/>
      <c r="J44" s="157"/>
    </row>
    <row r="45" spans="1:16">
      <c r="C45" s="22" t="s">
        <v>301</v>
      </c>
      <c r="D45" s="193">
        <f>'[23]fully dep CC assets'!G24</f>
        <v>20.769406539299958</v>
      </c>
      <c r="G45"/>
      <c r="H45"/>
      <c r="I45" s="200"/>
      <c r="J45" s="200"/>
    </row>
    <row r="46" spans="1:16" ht="26.65" customHeight="1">
      <c r="C46" s="206" t="s">
        <v>302</v>
      </c>
      <c r="D46" s="233" t="str">
        <f>E44</f>
        <v>opening to be considered</v>
      </c>
      <c r="G46" s="207"/>
      <c r="H46" s="207"/>
      <c r="I46" s="208"/>
      <c r="J46" s="208"/>
    </row>
    <row r="47" spans="1:16">
      <c r="C47" s="209" t="s">
        <v>303</v>
      </c>
      <c r="G47"/>
      <c r="H47"/>
      <c r="I47" s="200"/>
      <c r="J47" s="202"/>
    </row>
    <row r="48" spans="1:16">
      <c r="G48"/>
      <c r="H48"/>
      <c r="I48" s="200"/>
    </row>
    <row r="49" spans="7:10">
      <c r="G49"/>
      <c r="H49"/>
      <c r="I49" s="200"/>
      <c r="J49" s="200"/>
    </row>
    <row r="50" spans="7:10">
      <c r="G50"/>
      <c r="H50"/>
      <c r="I50" s="200"/>
    </row>
  </sheetData>
  <mergeCells count="7">
    <mergeCell ref="B26:Q26"/>
    <mergeCell ref="B2:Q2"/>
    <mergeCell ref="B3:B4"/>
    <mergeCell ref="C3:C4"/>
    <mergeCell ref="D3:I3"/>
    <mergeCell ref="J3:O3"/>
    <mergeCell ref="P3:Q3"/>
  </mergeCells>
  <dataValidations count="1">
    <dataValidation allowBlank="1" sqref="WVJ983073:WVK983090 IX33:IY50 ST33:SU50 ACP33:ACQ50 AML33:AMM50 AWH33:AWI50 BGD33:BGE50 BPZ33:BQA50 BZV33:BZW50 CJR33:CJS50 CTN33:CTO50 DDJ33:DDK50 DNF33:DNG50 DXB33:DXC50 EGX33:EGY50 EQT33:EQU50 FAP33:FAQ50 FKL33:FKM50 FUH33:FUI50 GED33:GEE50 GNZ33:GOA50 GXV33:GXW50 HHR33:HHS50 HRN33:HRO50 IBJ33:IBK50 ILF33:ILG50 IVB33:IVC50 JEX33:JEY50 JOT33:JOU50 JYP33:JYQ50 KIL33:KIM50 KSH33:KSI50 LCD33:LCE50 LLZ33:LMA50 LVV33:LVW50 MFR33:MFS50 MPN33:MPO50 MZJ33:MZK50 NJF33:NJG50 NTB33:NTC50 OCX33:OCY50 OMT33:OMU50 OWP33:OWQ50 PGL33:PGM50 PQH33:PQI50 QAD33:QAE50 QJZ33:QKA50 QTV33:QTW50 RDR33:RDS50 RNN33:RNO50 RXJ33:RXK50 SHF33:SHG50 SRB33:SRC50 TAX33:TAY50 TKT33:TKU50 TUP33:TUQ50 UEL33:UEM50 UOH33:UOI50 UYD33:UYE50 VHZ33:VIA50 VRV33:VRW50 WBR33:WBS50 WLN33:WLO50 WVJ33:WVK50 G65569:H65586 IX65569:IY65586 ST65569:SU65586 ACP65569:ACQ65586 AML65569:AMM65586 AWH65569:AWI65586 BGD65569:BGE65586 BPZ65569:BQA65586 BZV65569:BZW65586 CJR65569:CJS65586 CTN65569:CTO65586 DDJ65569:DDK65586 DNF65569:DNG65586 DXB65569:DXC65586 EGX65569:EGY65586 EQT65569:EQU65586 FAP65569:FAQ65586 FKL65569:FKM65586 FUH65569:FUI65586 GED65569:GEE65586 GNZ65569:GOA65586 GXV65569:GXW65586 HHR65569:HHS65586 HRN65569:HRO65586 IBJ65569:IBK65586 ILF65569:ILG65586 IVB65569:IVC65586 JEX65569:JEY65586 JOT65569:JOU65586 JYP65569:JYQ65586 KIL65569:KIM65586 KSH65569:KSI65586 LCD65569:LCE65586 LLZ65569:LMA65586 LVV65569:LVW65586 MFR65569:MFS65586 MPN65569:MPO65586 MZJ65569:MZK65586 NJF65569:NJG65586 NTB65569:NTC65586 OCX65569:OCY65586 OMT65569:OMU65586 OWP65569:OWQ65586 PGL65569:PGM65586 PQH65569:PQI65586 QAD65569:QAE65586 QJZ65569:QKA65586 QTV65569:QTW65586 RDR65569:RDS65586 RNN65569:RNO65586 RXJ65569:RXK65586 SHF65569:SHG65586 SRB65569:SRC65586 TAX65569:TAY65586 TKT65569:TKU65586 TUP65569:TUQ65586 UEL65569:UEM65586 UOH65569:UOI65586 UYD65569:UYE65586 VHZ65569:VIA65586 VRV65569:VRW65586 WBR65569:WBS65586 WLN65569:WLO65586 WVJ65569:WVK65586 G131105:H131122 IX131105:IY131122 ST131105:SU131122 ACP131105:ACQ131122 AML131105:AMM131122 AWH131105:AWI131122 BGD131105:BGE131122 BPZ131105:BQA131122 BZV131105:BZW131122 CJR131105:CJS131122 CTN131105:CTO131122 DDJ131105:DDK131122 DNF131105:DNG131122 DXB131105:DXC131122 EGX131105:EGY131122 EQT131105:EQU131122 FAP131105:FAQ131122 FKL131105:FKM131122 FUH131105:FUI131122 GED131105:GEE131122 GNZ131105:GOA131122 GXV131105:GXW131122 HHR131105:HHS131122 HRN131105:HRO131122 IBJ131105:IBK131122 ILF131105:ILG131122 IVB131105:IVC131122 JEX131105:JEY131122 JOT131105:JOU131122 JYP131105:JYQ131122 KIL131105:KIM131122 KSH131105:KSI131122 LCD131105:LCE131122 LLZ131105:LMA131122 LVV131105:LVW131122 MFR131105:MFS131122 MPN131105:MPO131122 MZJ131105:MZK131122 NJF131105:NJG131122 NTB131105:NTC131122 OCX131105:OCY131122 OMT131105:OMU131122 OWP131105:OWQ131122 PGL131105:PGM131122 PQH131105:PQI131122 QAD131105:QAE131122 QJZ131105:QKA131122 QTV131105:QTW131122 RDR131105:RDS131122 RNN131105:RNO131122 RXJ131105:RXK131122 SHF131105:SHG131122 SRB131105:SRC131122 TAX131105:TAY131122 TKT131105:TKU131122 TUP131105:TUQ131122 UEL131105:UEM131122 UOH131105:UOI131122 UYD131105:UYE131122 VHZ131105:VIA131122 VRV131105:VRW131122 WBR131105:WBS131122 WLN131105:WLO131122 WVJ131105:WVK131122 G196641:H196658 IX196641:IY196658 ST196641:SU196658 ACP196641:ACQ196658 AML196641:AMM196658 AWH196641:AWI196658 BGD196641:BGE196658 BPZ196641:BQA196658 BZV196641:BZW196658 CJR196641:CJS196658 CTN196641:CTO196658 DDJ196641:DDK196658 DNF196641:DNG196658 DXB196641:DXC196658 EGX196641:EGY196658 EQT196641:EQU196658 FAP196641:FAQ196658 FKL196641:FKM196658 FUH196641:FUI196658 GED196641:GEE196658 GNZ196641:GOA196658 GXV196641:GXW196658 HHR196641:HHS196658 HRN196641:HRO196658 IBJ196641:IBK196658 ILF196641:ILG196658 IVB196641:IVC196658 JEX196641:JEY196658 JOT196641:JOU196658 JYP196641:JYQ196658 KIL196641:KIM196658 KSH196641:KSI196658 LCD196641:LCE196658 LLZ196641:LMA196658 LVV196641:LVW196658 MFR196641:MFS196658 MPN196641:MPO196658 MZJ196641:MZK196658 NJF196641:NJG196658 NTB196641:NTC196658 OCX196641:OCY196658 OMT196641:OMU196658 OWP196641:OWQ196658 PGL196641:PGM196658 PQH196641:PQI196658 QAD196641:QAE196658 QJZ196641:QKA196658 QTV196641:QTW196658 RDR196641:RDS196658 RNN196641:RNO196658 RXJ196641:RXK196658 SHF196641:SHG196658 SRB196641:SRC196658 TAX196641:TAY196658 TKT196641:TKU196658 TUP196641:TUQ196658 UEL196641:UEM196658 UOH196641:UOI196658 UYD196641:UYE196658 VHZ196641:VIA196658 VRV196641:VRW196658 WBR196641:WBS196658 WLN196641:WLO196658 WVJ196641:WVK196658 G262177:H262194 IX262177:IY262194 ST262177:SU262194 ACP262177:ACQ262194 AML262177:AMM262194 AWH262177:AWI262194 BGD262177:BGE262194 BPZ262177:BQA262194 BZV262177:BZW262194 CJR262177:CJS262194 CTN262177:CTO262194 DDJ262177:DDK262194 DNF262177:DNG262194 DXB262177:DXC262194 EGX262177:EGY262194 EQT262177:EQU262194 FAP262177:FAQ262194 FKL262177:FKM262194 FUH262177:FUI262194 GED262177:GEE262194 GNZ262177:GOA262194 GXV262177:GXW262194 HHR262177:HHS262194 HRN262177:HRO262194 IBJ262177:IBK262194 ILF262177:ILG262194 IVB262177:IVC262194 JEX262177:JEY262194 JOT262177:JOU262194 JYP262177:JYQ262194 KIL262177:KIM262194 KSH262177:KSI262194 LCD262177:LCE262194 LLZ262177:LMA262194 LVV262177:LVW262194 MFR262177:MFS262194 MPN262177:MPO262194 MZJ262177:MZK262194 NJF262177:NJG262194 NTB262177:NTC262194 OCX262177:OCY262194 OMT262177:OMU262194 OWP262177:OWQ262194 PGL262177:PGM262194 PQH262177:PQI262194 QAD262177:QAE262194 QJZ262177:QKA262194 QTV262177:QTW262194 RDR262177:RDS262194 RNN262177:RNO262194 RXJ262177:RXK262194 SHF262177:SHG262194 SRB262177:SRC262194 TAX262177:TAY262194 TKT262177:TKU262194 TUP262177:TUQ262194 UEL262177:UEM262194 UOH262177:UOI262194 UYD262177:UYE262194 VHZ262177:VIA262194 VRV262177:VRW262194 WBR262177:WBS262194 WLN262177:WLO262194 WVJ262177:WVK262194 G327713:H327730 IX327713:IY327730 ST327713:SU327730 ACP327713:ACQ327730 AML327713:AMM327730 AWH327713:AWI327730 BGD327713:BGE327730 BPZ327713:BQA327730 BZV327713:BZW327730 CJR327713:CJS327730 CTN327713:CTO327730 DDJ327713:DDK327730 DNF327713:DNG327730 DXB327713:DXC327730 EGX327713:EGY327730 EQT327713:EQU327730 FAP327713:FAQ327730 FKL327713:FKM327730 FUH327713:FUI327730 GED327713:GEE327730 GNZ327713:GOA327730 GXV327713:GXW327730 HHR327713:HHS327730 HRN327713:HRO327730 IBJ327713:IBK327730 ILF327713:ILG327730 IVB327713:IVC327730 JEX327713:JEY327730 JOT327713:JOU327730 JYP327713:JYQ327730 KIL327713:KIM327730 KSH327713:KSI327730 LCD327713:LCE327730 LLZ327713:LMA327730 LVV327713:LVW327730 MFR327713:MFS327730 MPN327713:MPO327730 MZJ327713:MZK327730 NJF327713:NJG327730 NTB327713:NTC327730 OCX327713:OCY327730 OMT327713:OMU327730 OWP327713:OWQ327730 PGL327713:PGM327730 PQH327713:PQI327730 QAD327713:QAE327730 QJZ327713:QKA327730 QTV327713:QTW327730 RDR327713:RDS327730 RNN327713:RNO327730 RXJ327713:RXK327730 SHF327713:SHG327730 SRB327713:SRC327730 TAX327713:TAY327730 TKT327713:TKU327730 TUP327713:TUQ327730 UEL327713:UEM327730 UOH327713:UOI327730 UYD327713:UYE327730 VHZ327713:VIA327730 VRV327713:VRW327730 WBR327713:WBS327730 WLN327713:WLO327730 WVJ327713:WVK327730 G393249:H393266 IX393249:IY393266 ST393249:SU393266 ACP393249:ACQ393266 AML393249:AMM393266 AWH393249:AWI393266 BGD393249:BGE393266 BPZ393249:BQA393266 BZV393249:BZW393266 CJR393249:CJS393266 CTN393249:CTO393266 DDJ393249:DDK393266 DNF393249:DNG393266 DXB393249:DXC393266 EGX393249:EGY393266 EQT393249:EQU393266 FAP393249:FAQ393266 FKL393249:FKM393266 FUH393249:FUI393266 GED393249:GEE393266 GNZ393249:GOA393266 GXV393249:GXW393266 HHR393249:HHS393266 HRN393249:HRO393266 IBJ393249:IBK393266 ILF393249:ILG393266 IVB393249:IVC393266 JEX393249:JEY393266 JOT393249:JOU393266 JYP393249:JYQ393266 KIL393249:KIM393266 KSH393249:KSI393266 LCD393249:LCE393266 LLZ393249:LMA393266 LVV393249:LVW393266 MFR393249:MFS393266 MPN393249:MPO393266 MZJ393249:MZK393266 NJF393249:NJG393266 NTB393249:NTC393266 OCX393249:OCY393266 OMT393249:OMU393266 OWP393249:OWQ393266 PGL393249:PGM393266 PQH393249:PQI393266 QAD393249:QAE393266 QJZ393249:QKA393266 QTV393249:QTW393266 RDR393249:RDS393266 RNN393249:RNO393266 RXJ393249:RXK393266 SHF393249:SHG393266 SRB393249:SRC393266 TAX393249:TAY393266 TKT393249:TKU393266 TUP393249:TUQ393266 UEL393249:UEM393266 UOH393249:UOI393266 UYD393249:UYE393266 VHZ393249:VIA393266 VRV393249:VRW393266 WBR393249:WBS393266 WLN393249:WLO393266 WVJ393249:WVK393266 G458785:H458802 IX458785:IY458802 ST458785:SU458802 ACP458785:ACQ458802 AML458785:AMM458802 AWH458785:AWI458802 BGD458785:BGE458802 BPZ458785:BQA458802 BZV458785:BZW458802 CJR458785:CJS458802 CTN458785:CTO458802 DDJ458785:DDK458802 DNF458785:DNG458802 DXB458785:DXC458802 EGX458785:EGY458802 EQT458785:EQU458802 FAP458785:FAQ458802 FKL458785:FKM458802 FUH458785:FUI458802 GED458785:GEE458802 GNZ458785:GOA458802 GXV458785:GXW458802 HHR458785:HHS458802 HRN458785:HRO458802 IBJ458785:IBK458802 ILF458785:ILG458802 IVB458785:IVC458802 JEX458785:JEY458802 JOT458785:JOU458802 JYP458785:JYQ458802 KIL458785:KIM458802 KSH458785:KSI458802 LCD458785:LCE458802 LLZ458785:LMA458802 LVV458785:LVW458802 MFR458785:MFS458802 MPN458785:MPO458802 MZJ458785:MZK458802 NJF458785:NJG458802 NTB458785:NTC458802 OCX458785:OCY458802 OMT458785:OMU458802 OWP458785:OWQ458802 PGL458785:PGM458802 PQH458785:PQI458802 QAD458785:QAE458802 QJZ458785:QKA458802 QTV458785:QTW458802 RDR458785:RDS458802 RNN458785:RNO458802 RXJ458785:RXK458802 SHF458785:SHG458802 SRB458785:SRC458802 TAX458785:TAY458802 TKT458785:TKU458802 TUP458785:TUQ458802 UEL458785:UEM458802 UOH458785:UOI458802 UYD458785:UYE458802 VHZ458785:VIA458802 VRV458785:VRW458802 WBR458785:WBS458802 WLN458785:WLO458802 WVJ458785:WVK458802 G524321:H524338 IX524321:IY524338 ST524321:SU524338 ACP524321:ACQ524338 AML524321:AMM524338 AWH524321:AWI524338 BGD524321:BGE524338 BPZ524321:BQA524338 BZV524321:BZW524338 CJR524321:CJS524338 CTN524321:CTO524338 DDJ524321:DDK524338 DNF524321:DNG524338 DXB524321:DXC524338 EGX524321:EGY524338 EQT524321:EQU524338 FAP524321:FAQ524338 FKL524321:FKM524338 FUH524321:FUI524338 GED524321:GEE524338 GNZ524321:GOA524338 GXV524321:GXW524338 HHR524321:HHS524338 HRN524321:HRO524338 IBJ524321:IBK524338 ILF524321:ILG524338 IVB524321:IVC524338 JEX524321:JEY524338 JOT524321:JOU524338 JYP524321:JYQ524338 KIL524321:KIM524338 KSH524321:KSI524338 LCD524321:LCE524338 LLZ524321:LMA524338 LVV524321:LVW524338 MFR524321:MFS524338 MPN524321:MPO524338 MZJ524321:MZK524338 NJF524321:NJG524338 NTB524321:NTC524338 OCX524321:OCY524338 OMT524321:OMU524338 OWP524321:OWQ524338 PGL524321:PGM524338 PQH524321:PQI524338 QAD524321:QAE524338 QJZ524321:QKA524338 QTV524321:QTW524338 RDR524321:RDS524338 RNN524321:RNO524338 RXJ524321:RXK524338 SHF524321:SHG524338 SRB524321:SRC524338 TAX524321:TAY524338 TKT524321:TKU524338 TUP524321:TUQ524338 UEL524321:UEM524338 UOH524321:UOI524338 UYD524321:UYE524338 VHZ524321:VIA524338 VRV524321:VRW524338 WBR524321:WBS524338 WLN524321:WLO524338 WVJ524321:WVK524338 G589857:H589874 IX589857:IY589874 ST589857:SU589874 ACP589857:ACQ589874 AML589857:AMM589874 AWH589857:AWI589874 BGD589857:BGE589874 BPZ589857:BQA589874 BZV589857:BZW589874 CJR589857:CJS589874 CTN589857:CTO589874 DDJ589857:DDK589874 DNF589857:DNG589874 DXB589857:DXC589874 EGX589857:EGY589874 EQT589857:EQU589874 FAP589857:FAQ589874 FKL589857:FKM589874 FUH589857:FUI589874 GED589857:GEE589874 GNZ589857:GOA589874 GXV589857:GXW589874 HHR589857:HHS589874 HRN589857:HRO589874 IBJ589857:IBK589874 ILF589857:ILG589874 IVB589857:IVC589874 JEX589857:JEY589874 JOT589857:JOU589874 JYP589857:JYQ589874 KIL589857:KIM589874 KSH589857:KSI589874 LCD589857:LCE589874 LLZ589857:LMA589874 LVV589857:LVW589874 MFR589857:MFS589874 MPN589857:MPO589874 MZJ589857:MZK589874 NJF589857:NJG589874 NTB589857:NTC589874 OCX589857:OCY589874 OMT589857:OMU589874 OWP589857:OWQ589874 PGL589857:PGM589874 PQH589857:PQI589874 QAD589857:QAE589874 QJZ589857:QKA589874 QTV589857:QTW589874 RDR589857:RDS589874 RNN589857:RNO589874 RXJ589857:RXK589874 SHF589857:SHG589874 SRB589857:SRC589874 TAX589857:TAY589874 TKT589857:TKU589874 TUP589857:TUQ589874 UEL589857:UEM589874 UOH589857:UOI589874 UYD589857:UYE589874 VHZ589857:VIA589874 VRV589857:VRW589874 WBR589857:WBS589874 WLN589857:WLO589874 WVJ589857:WVK589874 G655393:H655410 IX655393:IY655410 ST655393:SU655410 ACP655393:ACQ655410 AML655393:AMM655410 AWH655393:AWI655410 BGD655393:BGE655410 BPZ655393:BQA655410 BZV655393:BZW655410 CJR655393:CJS655410 CTN655393:CTO655410 DDJ655393:DDK655410 DNF655393:DNG655410 DXB655393:DXC655410 EGX655393:EGY655410 EQT655393:EQU655410 FAP655393:FAQ655410 FKL655393:FKM655410 FUH655393:FUI655410 GED655393:GEE655410 GNZ655393:GOA655410 GXV655393:GXW655410 HHR655393:HHS655410 HRN655393:HRO655410 IBJ655393:IBK655410 ILF655393:ILG655410 IVB655393:IVC655410 JEX655393:JEY655410 JOT655393:JOU655410 JYP655393:JYQ655410 KIL655393:KIM655410 KSH655393:KSI655410 LCD655393:LCE655410 LLZ655393:LMA655410 LVV655393:LVW655410 MFR655393:MFS655410 MPN655393:MPO655410 MZJ655393:MZK655410 NJF655393:NJG655410 NTB655393:NTC655410 OCX655393:OCY655410 OMT655393:OMU655410 OWP655393:OWQ655410 PGL655393:PGM655410 PQH655393:PQI655410 QAD655393:QAE655410 QJZ655393:QKA655410 QTV655393:QTW655410 RDR655393:RDS655410 RNN655393:RNO655410 RXJ655393:RXK655410 SHF655393:SHG655410 SRB655393:SRC655410 TAX655393:TAY655410 TKT655393:TKU655410 TUP655393:TUQ655410 UEL655393:UEM655410 UOH655393:UOI655410 UYD655393:UYE655410 VHZ655393:VIA655410 VRV655393:VRW655410 WBR655393:WBS655410 WLN655393:WLO655410 WVJ655393:WVK655410 G720929:H720946 IX720929:IY720946 ST720929:SU720946 ACP720929:ACQ720946 AML720929:AMM720946 AWH720929:AWI720946 BGD720929:BGE720946 BPZ720929:BQA720946 BZV720929:BZW720946 CJR720929:CJS720946 CTN720929:CTO720946 DDJ720929:DDK720946 DNF720929:DNG720946 DXB720929:DXC720946 EGX720929:EGY720946 EQT720929:EQU720946 FAP720929:FAQ720946 FKL720929:FKM720946 FUH720929:FUI720946 GED720929:GEE720946 GNZ720929:GOA720946 GXV720929:GXW720946 HHR720929:HHS720946 HRN720929:HRO720946 IBJ720929:IBK720946 ILF720929:ILG720946 IVB720929:IVC720946 JEX720929:JEY720946 JOT720929:JOU720946 JYP720929:JYQ720946 KIL720929:KIM720946 KSH720929:KSI720946 LCD720929:LCE720946 LLZ720929:LMA720946 LVV720929:LVW720946 MFR720929:MFS720946 MPN720929:MPO720946 MZJ720929:MZK720946 NJF720929:NJG720946 NTB720929:NTC720946 OCX720929:OCY720946 OMT720929:OMU720946 OWP720929:OWQ720946 PGL720929:PGM720946 PQH720929:PQI720946 QAD720929:QAE720946 QJZ720929:QKA720946 QTV720929:QTW720946 RDR720929:RDS720946 RNN720929:RNO720946 RXJ720929:RXK720946 SHF720929:SHG720946 SRB720929:SRC720946 TAX720929:TAY720946 TKT720929:TKU720946 TUP720929:TUQ720946 UEL720929:UEM720946 UOH720929:UOI720946 UYD720929:UYE720946 VHZ720929:VIA720946 VRV720929:VRW720946 WBR720929:WBS720946 WLN720929:WLO720946 WVJ720929:WVK720946 G786465:H786482 IX786465:IY786482 ST786465:SU786482 ACP786465:ACQ786482 AML786465:AMM786482 AWH786465:AWI786482 BGD786465:BGE786482 BPZ786465:BQA786482 BZV786465:BZW786482 CJR786465:CJS786482 CTN786465:CTO786482 DDJ786465:DDK786482 DNF786465:DNG786482 DXB786465:DXC786482 EGX786465:EGY786482 EQT786465:EQU786482 FAP786465:FAQ786482 FKL786465:FKM786482 FUH786465:FUI786482 GED786465:GEE786482 GNZ786465:GOA786482 GXV786465:GXW786482 HHR786465:HHS786482 HRN786465:HRO786482 IBJ786465:IBK786482 ILF786465:ILG786482 IVB786465:IVC786482 JEX786465:JEY786482 JOT786465:JOU786482 JYP786465:JYQ786482 KIL786465:KIM786482 KSH786465:KSI786482 LCD786465:LCE786482 LLZ786465:LMA786482 LVV786465:LVW786482 MFR786465:MFS786482 MPN786465:MPO786482 MZJ786465:MZK786482 NJF786465:NJG786482 NTB786465:NTC786482 OCX786465:OCY786482 OMT786465:OMU786482 OWP786465:OWQ786482 PGL786465:PGM786482 PQH786465:PQI786482 QAD786465:QAE786482 QJZ786465:QKA786482 QTV786465:QTW786482 RDR786465:RDS786482 RNN786465:RNO786482 RXJ786465:RXK786482 SHF786465:SHG786482 SRB786465:SRC786482 TAX786465:TAY786482 TKT786465:TKU786482 TUP786465:TUQ786482 UEL786465:UEM786482 UOH786465:UOI786482 UYD786465:UYE786482 VHZ786465:VIA786482 VRV786465:VRW786482 WBR786465:WBS786482 WLN786465:WLO786482 WVJ786465:WVK786482 G852001:H852018 IX852001:IY852018 ST852001:SU852018 ACP852001:ACQ852018 AML852001:AMM852018 AWH852001:AWI852018 BGD852001:BGE852018 BPZ852001:BQA852018 BZV852001:BZW852018 CJR852001:CJS852018 CTN852001:CTO852018 DDJ852001:DDK852018 DNF852001:DNG852018 DXB852001:DXC852018 EGX852001:EGY852018 EQT852001:EQU852018 FAP852001:FAQ852018 FKL852001:FKM852018 FUH852001:FUI852018 GED852001:GEE852018 GNZ852001:GOA852018 GXV852001:GXW852018 HHR852001:HHS852018 HRN852001:HRO852018 IBJ852001:IBK852018 ILF852001:ILG852018 IVB852001:IVC852018 JEX852001:JEY852018 JOT852001:JOU852018 JYP852001:JYQ852018 KIL852001:KIM852018 KSH852001:KSI852018 LCD852001:LCE852018 LLZ852001:LMA852018 LVV852001:LVW852018 MFR852001:MFS852018 MPN852001:MPO852018 MZJ852001:MZK852018 NJF852001:NJG852018 NTB852001:NTC852018 OCX852001:OCY852018 OMT852001:OMU852018 OWP852001:OWQ852018 PGL852001:PGM852018 PQH852001:PQI852018 QAD852001:QAE852018 QJZ852001:QKA852018 QTV852001:QTW852018 RDR852001:RDS852018 RNN852001:RNO852018 RXJ852001:RXK852018 SHF852001:SHG852018 SRB852001:SRC852018 TAX852001:TAY852018 TKT852001:TKU852018 TUP852001:TUQ852018 UEL852001:UEM852018 UOH852001:UOI852018 UYD852001:UYE852018 VHZ852001:VIA852018 VRV852001:VRW852018 WBR852001:WBS852018 WLN852001:WLO852018 WVJ852001:WVK852018 G917537:H917554 IX917537:IY917554 ST917537:SU917554 ACP917537:ACQ917554 AML917537:AMM917554 AWH917537:AWI917554 BGD917537:BGE917554 BPZ917537:BQA917554 BZV917537:BZW917554 CJR917537:CJS917554 CTN917537:CTO917554 DDJ917537:DDK917554 DNF917537:DNG917554 DXB917537:DXC917554 EGX917537:EGY917554 EQT917537:EQU917554 FAP917537:FAQ917554 FKL917537:FKM917554 FUH917537:FUI917554 GED917537:GEE917554 GNZ917537:GOA917554 GXV917537:GXW917554 HHR917537:HHS917554 HRN917537:HRO917554 IBJ917537:IBK917554 ILF917537:ILG917554 IVB917537:IVC917554 JEX917537:JEY917554 JOT917537:JOU917554 JYP917537:JYQ917554 KIL917537:KIM917554 KSH917537:KSI917554 LCD917537:LCE917554 LLZ917537:LMA917554 LVV917537:LVW917554 MFR917537:MFS917554 MPN917537:MPO917554 MZJ917537:MZK917554 NJF917537:NJG917554 NTB917537:NTC917554 OCX917537:OCY917554 OMT917537:OMU917554 OWP917537:OWQ917554 PGL917537:PGM917554 PQH917537:PQI917554 QAD917537:QAE917554 QJZ917537:QKA917554 QTV917537:QTW917554 RDR917537:RDS917554 RNN917537:RNO917554 RXJ917537:RXK917554 SHF917537:SHG917554 SRB917537:SRC917554 TAX917537:TAY917554 TKT917537:TKU917554 TUP917537:TUQ917554 UEL917537:UEM917554 UOH917537:UOI917554 UYD917537:UYE917554 VHZ917537:VIA917554 VRV917537:VRW917554 WBR917537:WBS917554 WLN917537:WLO917554 WVJ917537:WVK917554 G983073:H983090 IX983073:IY983090 ST983073:SU983090 ACP983073:ACQ983090 AML983073:AMM983090 AWH983073:AWI983090 BGD983073:BGE983090 BPZ983073:BQA983090 BZV983073:BZW983090 CJR983073:CJS983090 CTN983073:CTO983090 DDJ983073:DDK983090 DNF983073:DNG983090 DXB983073:DXC983090 EGX983073:EGY983090 EQT983073:EQU983090 FAP983073:FAQ983090 FKL983073:FKM983090 FUH983073:FUI983090 GED983073:GEE983090 GNZ983073:GOA983090 GXV983073:GXW983090 HHR983073:HHS983090 HRN983073:HRO983090 IBJ983073:IBK983090 ILF983073:ILG983090 IVB983073:IVC983090 JEX983073:JEY983090 JOT983073:JOU983090 JYP983073:JYQ983090 KIL983073:KIM983090 KSH983073:KSI983090 LCD983073:LCE983090 LLZ983073:LMA983090 LVV983073:LVW983090 MFR983073:MFS983090 MPN983073:MPO983090 MZJ983073:MZK983090 NJF983073:NJG983090 NTB983073:NTC983090 OCX983073:OCY983090 OMT983073:OMU983090 OWP983073:OWQ983090 PGL983073:PGM983090 PQH983073:PQI983090 QAD983073:QAE983090 QJZ983073:QKA983090 QTV983073:QTW983090 RDR983073:RDS983090 RNN983073:RNO983090 RXJ983073:RXK983090 SHF983073:SHG983090 SRB983073:SRC983090 TAX983073:TAY983090 TKT983073:TKU983090 TUP983073:TUQ983090 UEL983073:UEM983090 UOH983073:UOI983090 UYD983073:UYE983090 VHZ983073:VIA983090 VRV983073:VRW983090 WBR983073:WBS983090 WLN983073:WLO983090 G33:H50"/>
  </dataValidations>
  <pageMargins left="0.7" right="0.7" top="0.75" bottom="0.75" header="0.3" footer="0.3"/>
  <pageSetup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="69" workbookViewId="0">
      <selection activeCell="N27" sqref="N27"/>
    </sheetView>
  </sheetViews>
  <sheetFormatPr defaultColWidth="8.7109375" defaultRowHeight="15"/>
  <cols>
    <col min="1" max="1" width="6.7109375" style="211" customWidth="1"/>
    <col min="2" max="2" width="3.28515625" style="211" customWidth="1"/>
    <col min="3" max="3" width="2.28515625" style="211" customWidth="1"/>
    <col min="4" max="4" width="3.28515625" style="211" customWidth="1"/>
    <col min="5" max="5" width="16.28515625" style="211" customWidth="1"/>
    <col min="6" max="6" width="14" style="211" customWidth="1"/>
    <col min="7" max="7" width="9.28515625" style="211" customWidth="1"/>
    <col min="8" max="8" width="6.7109375" style="211" customWidth="1"/>
    <col min="9" max="9" width="8" style="211" customWidth="1"/>
    <col min="10" max="10" width="19.7109375" style="227" customWidth="1"/>
    <col min="11" max="11" width="16" style="210" customWidth="1"/>
    <col min="12" max="12" width="14.7109375" style="210" bestFit="1" customWidth="1"/>
    <col min="13" max="16384" width="8.7109375" style="211"/>
  </cols>
  <sheetData>
    <row r="1" spans="1:12" ht="17.25" customHeight="1">
      <c r="A1" s="399" t="s">
        <v>309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</row>
    <row r="2" spans="1:12" ht="17.25" customHeight="1">
      <c r="A2" s="308"/>
      <c r="B2" s="308"/>
      <c r="C2" s="308"/>
      <c r="D2" s="308"/>
      <c r="E2" s="308"/>
      <c r="F2" s="308"/>
      <c r="G2" s="308"/>
      <c r="H2" s="308"/>
      <c r="I2" s="308"/>
      <c r="J2" s="212"/>
      <c r="K2" s="212" t="s">
        <v>310</v>
      </c>
    </row>
    <row r="3" spans="1:12" ht="18.75" customHeight="1">
      <c r="A3" s="400" t="s">
        <v>311</v>
      </c>
      <c r="B3" s="400"/>
      <c r="C3" s="400"/>
      <c r="D3" s="400"/>
      <c r="E3" s="400"/>
      <c r="F3" s="400"/>
      <c r="G3" s="400"/>
      <c r="H3" s="400"/>
      <c r="I3" s="400"/>
      <c r="J3" s="214" t="s">
        <v>312</v>
      </c>
      <c r="K3" s="213">
        <v>0.9</v>
      </c>
      <c r="L3" s="214" t="s">
        <v>313</v>
      </c>
    </row>
    <row r="4" spans="1:12" ht="17.25" customHeight="1">
      <c r="A4" s="395" t="s">
        <v>314</v>
      </c>
      <c r="B4" s="395"/>
      <c r="C4" s="395" t="s">
        <v>315</v>
      </c>
      <c r="D4" s="395"/>
      <c r="E4" s="395"/>
      <c r="F4" s="395"/>
      <c r="G4" s="395"/>
      <c r="H4" s="395"/>
      <c r="I4" s="395"/>
      <c r="J4" s="215">
        <v>99</v>
      </c>
      <c r="K4" s="216">
        <f>$K$3/J4</f>
        <v>9.0909090909090905E-3</v>
      </c>
      <c r="L4" s="217">
        <v>0</v>
      </c>
    </row>
    <row r="5" spans="1:12" ht="68.650000000000006" customHeight="1">
      <c r="A5" s="395" t="s">
        <v>316</v>
      </c>
      <c r="B5" s="395"/>
      <c r="C5" s="395" t="s">
        <v>317</v>
      </c>
      <c r="D5" s="395"/>
      <c r="E5" s="395"/>
      <c r="F5" s="395"/>
      <c r="G5" s="395"/>
      <c r="H5" s="395"/>
      <c r="I5" s="395"/>
      <c r="J5" s="218" t="s">
        <v>318</v>
      </c>
      <c r="K5" s="216"/>
      <c r="L5" s="219">
        <v>3.3399999999999999E-2</v>
      </c>
    </row>
    <row r="6" spans="1:12" ht="17.25" customHeight="1">
      <c r="A6" s="395" t="s">
        <v>319</v>
      </c>
      <c r="B6" s="395"/>
      <c r="C6" s="395" t="s">
        <v>320</v>
      </c>
      <c r="D6" s="395"/>
      <c r="E6" s="395"/>
      <c r="F6" s="395"/>
      <c r="G6" s="395"/>
      <c r="H6" s="395"/>
      <c r="I6" s="395"/>
      <c r="J6" s="220"/>
      <c r="K6" s="216"/>
      <c r="L6" s="221"/>
    </row>
    <row r="7" spans="1:12">
      <c r="A7" s="396" t="s">
        <v>321</v>
      </c>
      <c r="B7" s="396"/>
      <c r="C7" s="395" t="s">
        <v>322</v>
      </c>
      <c r="D7" s="395"/>
      <c r="E7" s="395"/>
      <c r="F7" s="395"/>
      <c r="G7" s="395"/>
      <c r="H7" s="395"/>
      <c r="I7" s="395"/>
      <c r="J7" s="220"/>
      <c r="K7" s="216"/>
      <c r="L7" s="221"/>
    </row>
    <row r="8" spans="1:12" ht="17.25" customHeight="1">
      <c r="A8" s="397"/>
      <c r="B8" s="397"/>
      <c r="C8" s="398" t="s">
        <v>323</v>
      </c>
      <c r="D8" s="398"/>
      <c r="E8" s="395" t="s">
        <v>324</v>
      </c>
      <c r="F8" s="395"/>
      <c r="G8" s="395"/>
      <c r="H8" s="395"/>
      <c r="I8" s="395"/>
      <c r="J8" s="215">
        <v>40</v>
      </c>
      <c r="K8" s="216">
        <f t="shared" ref="K8:K36" si="0">$K$3/J8</f>
        <v>2.2499999999999999E-2</v>
      </c>
      <c r="L8" s="219">
        <v>5.28E-2</v>
      </c>
    </row>
    <row r="9" spans="1:12" ht="17.25" customHeight="1">
      <c r="A9" s="397"/>
      <c r="B9" s="397"/>
      <c r="C9" s="398" t="s">
        <v>325</v>
      </c>
      <c r="D9" s="398"/>
      <c r="E9" s="395" t="s">
        <v>326</v>
      </c>
      <c r="F9" s="395"/>
      <c r="G9" s="395"/>
      <c r="H9" s="395"/>
      <c r="I9" s="395"/>
      <c r="J9" s="215">
        <v>25</v>
      </c>
      <c r="K9" s="216">
        <f t="shared" si="0"/>
        <v>3.6000000000000004E-2</v>
      </c>
      <c r="L9" s="219">
        <v>5.28E-2</v>
      </c>
    </row>
    <row r="10" spans="1:12" ht="17.25" customHeight="1">
      <c r="A10" s="396" t="s">
        <v>327</v>
      </c>
      <c r="B10" s="396"/>
      <c r="C10" s="395" t="s">
        <v>328</v>
      </c>
      <c r="D10" s="395"/>
      <c r="E10" s="395"/>
      <c r="F10" s="395"/>
      <c r="G10" s="395"/>
      <c r="H10" s="395"/>
      <c r="I10" s="395"/>
      <c r="J10" s="215">
        <v>25</v>
      </c>
      <c r="K10" s="216">
        <f t="shared" si="0"/>
        <v>3.6000000000000004E-2</v>
      </c>
      <c r="L10" s="219">
        <v>5.28E-2</v>
      </c>
    </row>
    <row r="11" spans="1:12" ht="28.15" customHeight="1">
      <c r="A11" s="396" t="s">
        <v>329</v>
      </c>
      <c r="B11" s="396"/>
      <c r="C11" s="395" t="s">
        <v>330</v>
      </c>
      <c r="D11" s="395"/>
      <c r="E11" s="395"/>
      <c r="F11" s="395"/>
      <c r="G11" s="395"/>
      <c r="H11" s="395"/>
      <c r="I11" s="395"/>
      <c r="J11" s="220"/>
      <c r="K11" s="216" t="e">
        <f t="shared" si="0"/>
        <v>#DIV/0!</v>
      </c>
      <c r="L11" s="221"/>
    </row>
    <row r="12" spans="1:12" ht="27.75" customHeight="1">
      <c r="A12" s="401"/>
      <c r="B12" s="401"/>
      <c r="C12" s="398" t="s">
        <v>323</v>
      </c>
      <c r="D12" s="398"/>
      <c r="E12" s="395" t="s">
        <v>331</v>
      </c>
      <c r="F12" s="395"/>
      <c r="G12" s="395"/>
      <c r="H12" s="395"/>
      <c r="I12" s="395"/>
      <c r="J12" s="215">
        <v>40</v>
      </c>
      <c r="K12" s="216">
        <f t="shared" si="0"/>
        <v>2.2499999999999999E-2</v>
      </c>
      <c r="L12" s="219">
        <v>5.28E-2</v>
      </c>
    </row>
    <row r="13" spans="1:12" ht="55.15" customHeight="1">
      <c r="A13" s="402"/>
      <c r="B13" s="402"/>
      <c r="C13" s="398" t="s">
        <v>325</v>
      </c>
      <c r="D13" s="398"/>
      <c r="E13" s="402" t="s">
        <v>332</v>
      </c>
      <c r="F13" s="402"/>
      <c r="G13" s="402"/>
      <c r="H13" s="402"/>
      <c r="I13" s="402"/>
      <c r="J13" s="215">
        <v>40</v>
      </c>
      <c r="K13" s="216">
        <f t="shared" si="0"/>
        <v>2.2499999999999999E-2</v>
      </c>
      <c r="L13" s="219">
        <v>5.28E-2</v>
      </c>
    </row>
    <row r="14" spans="1:12" ht="28.15" customHeight="1">
      <c r="A14" s="396" t="s">
        <v>333</v>
      </c>
      <c r="B14" s="396"/>
      <c r="C14" s="395" t="s">
        <v>334</v>
      </c>
      <c r="D14" s="395"/>
      <c r="E14" s="395"/>
      <c r="F14" s="395"/>
      <c r="G14" s="395"/>
      <c r="H14" s="395"/>
      <c r="I14" s="395"/>
      <c r="J14" s="220"/>
      <c r="K14" s="216" t="e">
        <f t="shared" si="0"/>
        <v>#DIV/0!</v>
      </c>
      <c r="L14" s="221"/>
    </row>
    <row r="15" spans="1:12" ht="17.25" customHeight="1">
      <c r="A15" s="397"/>
      <c r="B15" s="397"/>
      <c r="C15" s="398" t="s">
        <v>323</v>
      </c>
      <c r="D15" s="398"/>
      <c r="E15" s="395" t="s">
        <v>335</v>
      </c>
      <c r="F15" s="395"/>
      <c r="G15" s="395"/>
      <c r="H15" s="395"/>
      <c r="I15" s="395"/>
      <c r="J15" s="215">
        <v>60</v>
      </c>
      <c r="K15" s="216">
        <f t="shared" si="0"/>
        <v>1.5000000000000001E-2</v>
      </c>
      <c r="L15" s="219">
        <v>3.3399999999999999E-2</v>
      </c>
    </row>
    <row r="16" spans="1:12" ht="17.25" customHeight="1">
      <c r="A16" s="397"/>
      <c r="B16" s="397"/>
      <c r="C16" s="398" t="s">
        <v>325</v>
      </c>
      <c r="D16" s="398"/>
      <c r="E16" s="395" t="s">
        <v>336</v>
      </c>
      <c r="F16" s="395"/>
      <c r="G16" s="395"/>
      <c r="H16" s="395"/>
      <c r="I16" s="395"/>
      <c r="J16" s="215">
        <v>30</v>
      </c>
      <c r="K16" s="216">
        <f t="shared" si="0"/>
        <v>3.0000000000000002E-2</v>
      </c>
      <c r="L16" s="219">
        <v>3.3399999999999999E-2</v>
      </c>
    </row>
    <row r="17" spans="1:14" ht="17.25" customHeight="1">
      <c r="A17" s="397"/>
      <c r="B17" s="397"/>
      <c r="C17" s="398" t="s">
        <v>337</v>
      </c>
      <c r="D17" s="398"/>
      <c r="E17" s="395" t="s">
        <v>338</v>
      </c>
      <c r="F17" s="395"/>
      <c r="G17" s="395"/>
      <c r="H17" s="395"/>
      <c r="I17" s="395"/>
      <c r="J17" s="215">
        <v>30</v>
      </c>
      <c r="K17" s="216">
        <f t="shared" si="0"/>
        <v>3.0000000000000002E-2</v>
      </c>
      <c r="L17" s="219">
        <v>3.3399999999999999E-2</v>
      </c>
    </row>
    <row r="18" spans="1:14" ht="28.15" customHeight="1">
      <c r="A18" s="401"/>
      <c r="B18" s="401"/>
      <c r="C18" s="398" t="s">
        <v>339</v>
      </c>
      <c r="D18" s="398"/>
      <c r="E18" s="222" t="s">
        <v>340</v>
      </c>
      <c r="F18" s="223" t="s">
        <v>341</v>
      </c>
      <c r="G18" s="223" t="s">
        <v>342</v>
      </c>
      <c r="H18" s="223" t="s">
        <v>343</v>
      </c>
      <c r="I18" s="223" t="s">
        <v>344</v>
      </c>
      <c r="J18" s="215">
        <v>1</v>
      </c>
      <c r="K18" s="216">
        <f t="shared" si="0"/>
        <v>0.9</v>
      </c>
      <c r="L18" s="224">
        <v>1</v>
      </c>
    </row>
    <row r="19" spans="1:14" ht="17.25" customHeight="1">
      <c r="A19" s="397"/>
      <c r="B19" s="397"/>
      <c r="C19" s="398" t="s">
        <v>345</v>
      </c>
      <c r="D19" s="398"/>
      <c r="E19" s="395" t="s">
        <v>346</v>
      </c>
      <c r="F19" s="395"/>
      <c r="G19" s="395"/>
      <c r="H19" s="395"/>
      <c r="I19" s="395"/>
      <c r="J19" s="215">
        <v>10</v>
      </c>
      <c r="K19" s="216">
        <f t="shared" si="0"/>
        <v>0.09</v>
      </c>
      <c r="L19" s="219">
        <v>3.3399999999999999E-2</v>
      </c>
    </row>
    <row r="20" spans="1:14" ht="17.25" customHeight="1">
      <c r="A20" s="397"/>
      <c r="B20" s="397"/>
      <c r="C20" s="398" t="s">
        <v>347</v>
      </c>
      <c r="D20" s="398"/>
      <c r="E20" s="395" t="s">
        <v>348</v>
      </c>
      <c r="F20" s="395"/>
      <c r="G20" s="395"/>
      <c r="H20" s="395"/>
      <c r="I20" s="395"/>
      <c r="J20" s="215">
        <v>30</v>
      </c>
      <c r="K20" s="216">
        <f t="shared" si="0"/>
        <v>3.0000000000000002E-2</v>
      </c>
      <c r="L20" s="219">
        <v>3.3399999999999999E-2</v>
      </c>
    </row>
    <row r="21" spans="1:14" ht="17.25" customHeight="1">
      <c r="A21" s="396" t="s">
        <v>349</v>
      </c>
      <c r="B21" s="396"/>
      <c r="C21" s="397"/>
      <c r="D21" s="397"/>
      <c r="E21" s="395" t="s">
        <v>350</v>
      </c>
      <c r="F21" s="395"/>
      <c r="G21" s="395"/>
      <c r="H21" s="395"/>
      <c r="I21" s="395"/>
      <c r="J21" s="220"/>
      <c r="K21" s="216"/>
      <c r="L21" s="221"/>
    </row>
    <row r="22" spans="1:14" ht="17.25" customHeight="1">
      <c r="A22" s="397"/>
      <c r="B22" s="397"/>
      <c r="C22" s="398" t="s">
        <v>323</v>
      </c>
      <c r="D22" s="398"/>
      <c r="E22" s="395" t="s">
        <v>351</v>
      </c>
      <c r="F22" s="395"/>
      <c r="G22" s="395"/>
      <c r="H22" s="395"/>
      <c r="I22" s="395"/>
      <c r="J22" s="215">
        <v>25</v>
      </c>
      <c r="K22" s="216">
        <f t="shared" si="0"/>
        <v>3.6000000000000004E-2</v>
      </c>
      <c r="L22" s="219">
        <v>5.28E-2</v>
      </c>
    </row>
    <row r="23" spans="1:14" ht="17.25" customHeight="1">
      <c r="A23" s="397"/>
      <c r="B23" s="397"/>
      <c r="C23" s="398" t="s">
        <v>325</v>
      </c>
      <c r="D23" s="398"/>
      <c r="E23" s="395" t="s">
        <v>352</v>
      </c>
      <c r="F23" s="395"/>
      <c r="G23" s="395"/>
      <c r="H23" s="395"/>
      <c r="I23" s="395"/>
      <c r="J23" s="220"/>
      <c r="K23" s="216"/>
      <c r="L23" s="221"/>
    </row>
    <row r="24" spans="1:14" ht="17.25" customHeight="1">
      <c r="A24" s="397"/>
      <c r="B24" s="397"/>
      <c r="C24" s="397"/>
      <c r="D24" s="397"/>
      <c r="E24" s="395" t="s">
        <v>353</v>
      </c>
      <c r="F24" s="395"/>
      <c r="G24" s="395"/>
      <c r="H24" s="395"/>
      <c r="I24" s="395"/>
      <c r="J24" s="215">
        <v>15</v>
      </c>
      <c r="K24" s="216">
        <f t="shared" si="0"/>
        <v>6.0000000000000005E-2</v>
      </c>
      <c r="L24" s="219">
        <v>5.28E-2</v>
      </c>
    </row>
    <row r="25" spans="1:14" ht="17.25" customHeight="1">
      <c r="A25" s="397"/>
      <c r="B25" s="397"/>
      <c r="C25" s="397"/>
      <c r="D25" s="397"/>
      <c r="E25" s="395" t="s">
        <v>354</v>
      </c>
      <c r="F25" s="395"/>
      <c r="G25" s="395"/>
      <c r="H25" s="395"/>
      <c r="I25" s="395"/>
      <c r="J25" s="215">
        <v>20</v>
      </c>
      <c r="K25" s="216">
        <f t="shared" si="0"/>
        <v>4.4999999999999998E-2</v>
      </c>
      <c r="L25" s="219">
        <v>5.28E-2</v>
      </c>
    </row>
    <row r="26" spans="1:14" ht="17.25" customHeight="1">
      <c r="A26" s="396" t="s">
        <v>355</v>
      </c>
      <c r="B26" s="396"/>
      <c r="C26" s="397"/>
      <c r="D26" s="397"/>
      <c r="E26" s="395" t="s">
        <v>356</v>
      </c>
      <c r="F26" s="395"/>
      <c r="G26" s="395"/>
      <c r="H26" s="395"/>
      <c r="I26" s="395"/>
      <c r="J26" s="220"/>
      <c r="K26" s="216"/>
      <c r="L26" s="221"/>
    </row>
    <row r="27" spans="1:14" ht="17.25" customHeight="1">
      <c r="A27" s="397"/>
      <c r="B27" s="397"/>
      <c r="C27" s="397"/>
      <c r="D27" s="397"/>
      <c r="E27" s="395" t="s">
        <v>357</v>
      </c>
      <c r="F27" s="395"/>
      <c r="G27" s="395"/>
      <c r="H27" s="395"/>
      <c r="I27" s="395"/>
      <c r="J27" s="215">
        <v>15</v>
      </c>
      <c r="K27" s="216">
        <f t="shared" si="0"/>
        <v>6.0000000000000005E-2</v>
      </c>
      <c r="L27" s="219">
        <v>5.28E-2</v>
      </c>
    </row>
    <row r="28" spans="1:14" ht="17.25" customHeight="1">
      <c r="A28" s="397"/>
      <c r="B28" s="397"/>
      <c r="C28" s="397"/>
      <c r="D28" s="397"/>
      <c r="E28" s="395" t="s">
        <v>358</v>
      </c>
      <c r="F28" s="395"/>
      <c r="G28" s="395"/>
      <c r="H28" s="395"/>
      <c r="I28" s="395"/>
      <c r="J28" s="215">
        <v>10</v>
      </c>
      <c r="K28" s="216">
        <f t="shared" si="0"/>
        <v>0.09</v>
      </c>
      <c r="L28" s="219">
        <v>5.28E-2</v>
      </c>
    </row>
    <row r="29" spans="1:14" ht="17.25" customHeight="1">
      <c r="A29" s="397"/>
      <c r="B29" s="397"/>
      <c r="C29" s="397"/>
      <c r="D29" s="397"/>
      <c r="E29" s="395" t="s">
        <v>359</v>
      </c>
      <c r="F29" s="395"/>
      <c r="G29" s="395"/>
      <c r="H29" s="395"/>
      <c r="I29" s="395"/>
      <c r="J29" s="215">
        <v>10</v>
      </c>
      <c r="K29" s="216">
        <f t="shared" si="0"/>
        <v>0.09</v>
      </c>
      <c r="L29" s="219">
        <v>5.28E-2</v>
      </c>
      <c r="N29" s="230">
        <f>SUMPRODUCT(J22:J31,K22:K31)/SUM(J22:J31)</f>
        <v>6.0000000000000012E-2</v>
      </c>
    </row>
    <row r="30" spans="1:14" ht="17.25" customHeight="1">
      <c r="A30" s="397"/>
      <c r="B30" s="397"/>
      <c r="C30" s="397"/>
      <c r="D30" s="397"/>
      <c r="E30" s="395" t="s">
        <v>360</v>
      </c>
      <c r="F30" s="395"/>
      <c r="G30" s="395"/>
      <c r="H30" s="395"/>
      <c r="I30" s="395"/>
      <c r="J30" s="215">
        <v>15</v>
      </c>
      <c r="K30" s="216">
        <f t="shared" si="0"/>
        <v>6.0000000000000005E-2</v>
      </c>
      <c r="L30" s="219">
        <v>5.28E-2</v>
      </c>
    </row>
    <row r="31" spans="1:14" ht="17.25" customHeight="1">
      <c r="A31" s="396" t="s">
        <v>361</v>
      </c>
      <c r="B31" s="396"/>
      <c r="C31" s="397"/>
      <c r="D31" s="397"/>
      <c r="E31" s="395" t="s">
        <v>362</v>
      </c>
      <c r="F31" s="395"/>
      <c r="G31" s="395"/>
      <c r="H31" s="395"/>
      <c r="I31" s="395"/>
      <c r="J31" s="215">
        <v>10</v>
      </c>
      <c r="K31" s="216">
        <f t="shared" si="0"/>
        <v>0.09</v>
      </c>
      <c r="L31" s="219">
        <v>5.28E-2</v>
      </c>
    </row>
    <row r="32" spans="1:14" ht="17.25" customHeight="1">
      <c r="A32" s="396" t="s">
        <v>363</v>
      </c>
      <c r="B32" s="396"/>
      <c r="C32" s="397"/>
      <c r="D32" s="397"/>
      <c r="E32" s="395" t="s">
        <v>364</v>
      </c>
      <c r="F32" s="395"/>
      <c r="G32" s="395"/>
      <c r="H32" s="395"/>
      <c r="I32" s="395"/>
      <c r="J32" s="215">
        <v>5</v>
      </c>
      <c r="K32" s="216">
        <f t="shared" si="0"/>
        <v>0.18</v>
      </c>
      <c r="L32" s="219">
        <v>9.5000000000000001E-2</v>
      </c>
    </row>
    <row r="33" spans="1:14" ht="17.25" customHeight="1">
      <c r="A33" s="396" t="s">
        <v>365</v>
      </c>
      <c r="B33" s="396"/>
      <c r="C33" s="397"/>
      <c r="D33" s="397"/>
      <c r="E33" s="395" t="s">
        <v>366</v>
      </c>
      <c r="F33" s="395"/>
      <c r="G33" s="395"/>
      <c r="H33" s="395"/>
      <c r="I33" s="395"/>
      <c r="J33" s="220"/>
      <c r="K33" s="216"/>
      <c r="L33" s="221"/>
    </row>
    <row r="34" spans="1:14" ht="17.25" customHeight="1">
      <c r="A34" s="397"/>
      <c r="B34" s="397"/>
      <c r="C34" s="398" t="s">
        <v>323</v>
      </c>
      <c r="D34" s="398"/>
      <c r="E34" s="395" t="s">
        <v>367</v>
      </c>
      <c r="F34" s="395"/>
      <c r="G34" s="395"/>
      <c r="H34" s="395"/>
      <c r="I34" s="395"/>
      <c r="J34" s="215">
        <v>25</v>
      </c>
      <c r="K34" s="216">
        <f t="shared" si="0"/>
        <v>3.6000000000000004E-2</v>
      </c>
      <c r="L34" s="219">
        <v>5.28E-2</v>
      </c>
    </row>
    <row r="35" spans="1:14" ht="17.25" customHeight="1">
      <c r="A35" s="397"/>
      <c r="B35" s="397"/>
      <c r="C35" s="398" t="s">
        <v>325</v>
      </c>
      <c r="D35" s="398"/>
      <c r="E35" s="395" t="s">
        <v>368</v>
      </c>
      <c r="F35" s="395"/>
      <c r="G35" s="395"/>
      <c r="H35" s="395"/>
      <c r="I35" s="395"/>
      <c r="J35" s="215">
        <v>20</v>
      </c>
      <c r="K35" s="216">
        <f t="shared" si="0"/>
        <v>4.4999999999999998E-2</v>
      </c>
      <c r="L35" s="219">
        <v>5.28E-2</v>
      </c>
      <c r="N35" s="230">
        <f>SUMPRODUCT(J34:J35,K34:K35)/SUM(J34:J35)</f>
        <v>0.04</v>
      </c>
    </row>
    <row r="36" spans="1:14">
      <c r="A36" s="396" t="s">
        <v>369</v>
      </c>
      <c r="B36" s="396"/>
      <c r="C36" s="401"/>
      <c r="D36" s="401"/>
      <c r="E36" s="395" t="s">
        <v>370</v>
      </c>
      <c r="F36" s="395"/>
      <c r="G36" s="395"/>
      <c r="H36" s="395"/>
      <c r="I36" s="395"/>
      <c r="J36" s="215">
        <v>25</v>
      </c>
      <c r="K36" s="216">
        <f t="shared" si="0"/>
        <v>3.6000000000000004E-2</v>
      </c>
      <c r="L36" s="219">
        <v>5.28E-2</v>
      </c>
    </row>
    <row r="37" spans="1:14">
      <c r="A37" s="402"/>
      <c r="B37" s="402"/>
      <c r="C37" s="402"/>
      <c r="D37" s="402"/>
      <c r="E37" s="402"/>
      <c r="F37" s="402"/>
      <c r="G37" s="402"/>
      <c r="H37" s="402"/>
      <c r="I37" s="402"/>
      <c r="J37" s="402"/>
      <c r="K37" s="402"/>
      <c r="L37" s="221"/>
    </row>
    <row r="38" spans="1:14" ht="15.75">
      <c r="A38" s="403" t="s">
        <v>311</v>
      </c>
      <c r="B38" s="403"/>
      <c r="C38" s="403"/>
      <c r="D38" s="403"/>
      <c r="E38" s="403"/>
      <c r="F38" s="403"/>
      <c r="G38" s="403"/>
      <c r="H38" s="403"/>
      <c r="I38" s="403"/>
      <c r="J38" s="214"/>
      <c r="K38" s="221"/>
      <c r="L38" s="221"/>
    </row>
    <row r="39" spans="1:14" ht="17.25" customHeight="1">
      <c r="A39" s="225" t="s">
        <v>371</v>
      </c>
      <c r="B39" s="397"/>
      <c r="C39" s="397"/>
      <c r="D39" s="395" t="s">
        <v>372</v>
      </c>
      <c r="E39" s="395"/>
      <c r="F39" s="395"/>
      <c r="G39" s="395"/>
      <c r="H39" s="395"/>
      <c r="I39" s="395"/>
      <c r="J39" s="215">
        <v>10</v>
      </c>
      <c r="K39" s="216">
        <f>$K$3/J39</f>
        <v>0.09</v>
      </c>
      <c r="L39" s="219">
        <v>5.28E-2</v>
      </c>
    </row>
    <row r="40" spans="1:14" ht="17.25" customHeight="1">
      <c r="A40" s="225" t="s">
        <v>373</v>
      </c>
      <c r="B40" s="397"/>
      <c r="C40" s="397"/>
      <c r="D40" s="395" t="s">
        <v>374</v>
      </c>
      <c r="E40" s="395"/>
      <c r="F40" s="395"/>
      <c r="G40" s="395"/>
      <c r="H40" s="395"/>
      <c r="I40" s="395"/>
      <c r="J40" s="215">
        <v>5</v>
      </c>
      <c r="K40" s="216">
        <f>$K$3/J40</f>
        <v>0.18</v>
      </c>
      <c r="L40" s="219">
        <v>9.5000000000000001E-2</v>
      </c>
    </row>
    <row r="41" spans="1:14" ht="17.25" customHeight="1">
      <c r="A41" s="225" t="s">
        <v>375</v>
      </c>
      <c r="B41" s="397"/>
      <c r="C41" s="397"/>
      <c r="D41" s="395" t="s">
        <v>376</v>
      </c>
      <c r="E41" s="395"/>
      <c r="F41" s="395"/>
      <c r="G41" s="395"/>
      <c r="H41" s="395"/>
      <c r="I41" s="395"/>
      <c r="J41" s="215"/>
      <c r="K41" s="216"/>
      <c r="L41" s="221"/>
    </row>
    <row r="42" spans="1:14" ht="17.25" customHeight="1">
      <c r="A42" s="226"/>
      <c r="B42" s="398" t="s">
        <v>323</v>
      </c>
      <c r="C42" s="398"/>
      <c r="D42" s="395" t="s">
        <v>377</v>
      </c>
      <c r="E42" s="395"/>
      <c r="F42" s="395"/>
      <c r="G42" s="395"/>
      <c r="H42" s="395"/>
      <c r="I42" s="395"/>
      <c r="J42" s="215">
        <v>10</v>
      </c>
      <c r="K42" s="216">
        <f>$K$3/J42</f>
        <v>0.09</v>
      </c>
      <c r="L42" s="219">
        <v>5.28E-2</v>
      </c>
    </row>
    <row r="43" spans="1:14" ht="17.25" customHeight="1">
      <c r="A43" s="226"/>
      <c r="B43" s="398" t="s">
        <v>325</v>
      </c>
      <c r="C43" s="398"/>
      <c r="D43" s="395" t="s">
        <v>378</v>
      </c>
      <c r="E43" s="395"/>
      <c r="F43" s="395"/>
      <c r="G43" s="395"/>
      <c r="H43" s="395"/>
      <c r="I43" s="395"/>
      <c r="J43" s="215">
        <v>10</v>
      </c>
      <c r="K43" s="216">
        <f>$K$3/J43</f>
        <v>0.09</v>
      </c>
      <c r="L43" s="219">
        <v>9.5000000000000001E-2</v>
      </c>
    </row>
    <row r="44" spans="1:14" ht="17.25" customHeight="1">
      <c r="A44" s="225" t="s">
        <v>379</v>
      </c>
      <c r="B44" s="397"/>
      <c r="C44" s="397"/>
      <c r="D44" s="397"/>
      <c r="E44" s="397"/>
      <c r="F44" s="397"/>
      <c r="G44" s="397"/>
      <c r="H44" s="397"/>
      <c r="I44" s="397"/>
      <c r="J44" s="215"/>
      <c r="K44" s="216"/>
      <c r="L44" s="221"/>
    </row>
    <row r="45" spans="1:14" ht="17.25" customHeight="1">
      <c r="A45" s="226"/>
      <c r="B45" s="398" t="s">
        <v>323</v>
      </c>
      <c r="C45" s="398"/>
      <c r="D45" s="395" t="s">
        <v>380</v>
      </c>
      <c r="E45" s="395"/>
      <c r="F45" s="395"/>
      <c r="G45" s="395"/>
      <c r="H45" s="395"/>
      <c r="I45" s="395"/>
      <c r="J45" s="215">
        <v>10</v>
      </c>
      <c r="K45" s="216">
        <f>$K$3/J45</f>
        <v>0.09</v>
      </c>
      <c r="L45" s="219">
        <v>6.3299999999999995E-2</v>
      </c>
    </row>
    <row r="46" spans="1:14" ht="17.25" customHeight="1">
      <c r="A46" s="226"/>
      <c r="B46" s="398" t="s">
        <v>325</v>
      </c>
      <c r="C46" s="398"/>
      <c r="D46" s="395" t="s">
        <v>381</v>
      </c>
      <c r="E46" s="395"/>
      <c r="F46" s="395"/>
      <c r="G46" s="395"/>
      <c r="H46" s="395"/>
      <c r="I46" s="395"/>
      <c r="J46" s="215">
        <v>10</v>
      </c>
      <c r="K46" s="216">
        <f>$K$3/J46</f>
        <v>0.09</v>
      </c>
      <c r="L46" s="219">
        <v>6.3299999999999995E-2</v>
      </c>
    </row>
    <row r="47" spans="1:14" ht="17.25" customHeight="1">
      <c r="A47" s="226"/>
      <c r="B47" s="398" t="s">
        <v>337</v>
      </c>
      <c r="C47" s="398"/>
      <c r="D47" s="395" t="s">
        <v>382</v>
      </c>
      <c r="E47" s="395"/>
      <c r="F47" s="395"/>
      <c r="G47" s="395"/>
      <c r="H47" s="395"/>
      <c r="I47" s="395"/>
      <c r="J47" s="215">
        <v>10</v>
      </c>
      <c r="K47" s="216">
        <f>$K$3/J47</f>
        <v>0.09</v>
      </c>
      <c r="L47" s="219">
        <v>6.3299999999999995E-2</v>
      </c>
    </row>
    <row r="48" spans="1:14" ht="17.25" customHeight="1">
      <c r="A48" s="226"/>
      <c r="B48" s="398" t="s">
        <v>339</v>
      </c>
      <c r="C48" s="398"/>
      <c r="D48" s="395" t="s">
        <v>383</v>
      </c>
      <c r="E48" s="395"/>
      <c r="F48" s="395"/>
      <c r="G48" s="395"/>
      <c r="H48" s="395"/>
      <c r="I48" s="395"/>
      <c r="J48" s="215">
        <v>10</v>
      </c>
      <c r="K48" s="216">
        <f>$K$3/J48</f>
        <v>0.09</v>
      </c>
      <c r="L48" s="219">
        <v>6.3299999999999995E-2</v>
      </c>
    </row>
    <row r="49" spans="1:12" ht="17.25" customHeight="1">
      <c r="A49" s="225" t="s">
        <v>384</v>
      </c>
      <c r="B49" s="397"/>
      <c r="C49" s="397"/>
      <c r="D49" s="395" t="s">
        <v>385</v>
      </c>
      <c r="E49" s="395"/>
      <c r="F49" s="395"/>
      <c r="G49" s="395"/>
      <c r="H49" s="395"/>
      <c r="I49" s="395"/>
      <c r="J49" s="215"/>
      <c r="K49" s="216"/>
      <c r="L49" s="221"/>
    </row>
    <row r="50" spans="1:12" ht="17.25" customHeight="1">
      <c r="A50" s="226"/>
      <c r="B50" s="398" t="s">
        <v>323</v>
      </c>
      <c r="C50" s="398"/>
      <c r="D50" s="395" t="s">
        <v>386</v>
      </c>
      <c r="E50" s="395"/>
      <c r="F50" s="395"/>
      <c r="G50" s="395"/>
      <c r="H50" s="395"/>
      <c r="I50" s="395"/>
      <c r="J50" s="215">
        <v>7</v>
      </c>
      <c r="K50" s="216">
        <f>$K$3/J50</f>
        <v>0.12857142857142859</v>
      </c>
      <c r="L50" s="224">
        <v>0.15</v>
      </c>
    </row>
    <row r="51" spans="1:12" ht="17.25" customHeight="1">
      <c r="A51" s="226"/>
      <c r="B51" s="398" t="s">
        <v>325</v>
      </c>
      <c r="C51" s="398"/>
      <c r="D51" s="395" t="s">
        <v>387</v>
      </c>
      <c r="E51" s="395"/>
      <c r="F51" s="395"/>
      <c r="G51" s="395"/>
      <c r="H51" s="395"/>
      <c r="I51" s="395"/>
      <c r="J51" s="215">
        <v>7</v>
      </c>
      <c r="K51" s="216">
        <f>$K$3/J51</f>
        <v>0.12857142857142859</v>
      </c>
      <c r="L51" s="224">
        <v>0.15</v>
      </c>
    </row>
    <row r="52" spans="1:12" ht="17.25" customHeight="1">
      <c r="A52" s="226"/>
      <c r="B52" s="398" t="s">
        <v>337</v>
      </c>
      <c r="C52" s="398"/>
      <c r="D52" s="395" t="s">
        <v>388</v>
      </c>
      <c r="E52" s="395"/>
      <c r="F52" s="395"/>
      <c r="G52" s="395"/>
      <c r="H52" s="395"/>
      <c r="I52" s="395"/>
      <c r="J52" s="215">
        <v>7</v>
      </c>
      <c r="K52" s="216">
        <f>$K$3/J52</f>
        <v>0.12857142857142859</v>
      </c>
      <c r="L52" s="219">
        <v>6.3299999999999995E-2</v>
      </c>
    </row>
    <row r="53" spans="1:12" ht="17.25" customHeight="1">
      <c r="A53" s="225" t="s">
        <v>389</v>
      </c>
      <c r="B53" s="397"/>
      <c r="C53" s="397"/>
      <c r="D53" s="395" t="s">
        <v>390</v>
      </c>
      <c r="E53" s="395"/>
      <c r="F53" s="395"/>
      <c r="G53" s="395"/>
      <c r="H53" s="395"/>
      <c r="I53" s="395"/>
      <c r="J53" s="215">
        <v>6</v>
      </c>
      <c r="K53" s="216">
        <f>$K$3/J53</f>
        <v>0.15</v>
      </c>
      <c r="L53" s="224">
        <v>0.15</v>
      </c>
    </row>
    <row r="54" spans="1:12" ht="17.25" customHeight="1">
      <c r="A54" s="225" t="s">
        <v>391</v>
      </c>
      <c r="B54" s="397"/>
      <c r="C54" s="397"/>
      <c r="D54" s="395" t="s">
        <v>392</v>
      </c>
      <c r="E54" s="395"/>
      <c r="F54" s="395"/>
      <c r="G54" s="395"/>
      <c r="H54" s="395"/>
      <c r="I54" s="395"/>
      <c r="J54" s="215">
        <v>5</v>
      </c>
      <c r="K54" s="216">
        <f>$K$3/J54</f>
        <v>0.18</v>
      </c>
      <c r="L54" s="221"/>
    </row>
    <row r="55" spans="1:12" ht="40.5" customHeight="1">
      <c r="A55" s="225" t="s">
        <v>393</v>
      </c>
      <c r="B55" s="401"/>
      <c r="C55" s="401"/>
      <c r="D55" s="395" t="s">
        <v>394</v>
      </c>
      <c r="E55" s="395"/>
      <c r="F55" s="395"/>
      <c r="G55" s="395"/>
      <c r="H55" s="395"/>
      <c r="I55" s="395"/>
      <c r="J55" s="215"/>
      <c r="K55" s="221"/>
      <c r="L55" s="221"/>
    </row>
  </sheetData>
  <mergeCells count="129">
    <mergeCell ref="B55:C55"/>
    <mergeCell ref="D55:I55"/>
    <mergeCell ref="B52:C52"/>
    <mergeCell ref="D52:I52"/>
    <mergeCell ref="B53:C53"/>
    <mergeCell ref="D53:I53"/>
    <mergeCell ref="B54:C54"/>
    <mergeCell ref="D54:I54"/>
    <mergeCell ref="B49:C49"/>
    <mergeCell ref="D49:I49"/>
    <mergeCell ref="B50:C50"/>
    <mergeCell ref="D50:I50"/>
    <mergeCell ref="B51:C51"/>
    <mergeCell ref="D51:I51"/>
    <mergeCell ref="B46:C46"/>
    <mergeCell ref="D46:I46"/>
    <mergeCell ref="B47:C47"/>
    <mergeCell ref="D47:I47"/>
    <mergeCell ref="B48:C48"/>
    <mergeCell ref="D48:I48"/>
    <mergeCell ref="B43:C43"/>
    <mergeCell ref="D43:I43"/>
    <mergeCell ref="B44:C44"/>
    <mergeCell ref="D44:I44"/>
    <mergeCell ref="B45:C45"/>
    <mergeCell ref="D45:I45"/>
    <mergeCell ref="B40:C40"/>
    <mergeCell ref="D40:I40"/>
    <mergeCell ref="B41:C41"/>
    <mergeCell ref="D41:I41"/>
    <mergeCell ref="B42:C42"/>
    <mergeCell ref="D42:I42"/>
    <mergeCell ref="A36:B36"/>
    <mergeCell ref="C36:D36"/>
    <mergeCell ref="E36:I36"/>
    <mergeCell ref="A37:K37"/>
    <mergeCell ref="A38:I38"/>
    <mergeCell ref="B39:C39"/>
    <mergeCell ref="D39:I39"/>
    <mergeCell ref="A34:B34"/>
    <mergeCell ref="C34:D34"/>
    <mergeCell ref="E34:I34"/>
    <mergeCell ref="A35:B35"/>
    <mergeCell ref="C35:D35"/>
    <mergeCell ref="E35:I35"/>
    <mergeCell ref="A32:B32"/>
    <mergeCell ref="C32:D32"/>
    <mergeCell ref="E32:I32"/>
    <mergeCell ref="A33:B33"/>
    <mergeCell ref="C33:D33"/>
    <mergeCell ref="E33:I33"/>
    <mergeCell ref="A30:B30"/>
    <mergeCell ref="C30:D30"/>
    <mergeCell ref="E30:I30"/>
    <mergeCell ref="A31:B31"/>
    <mergeCell ref="C31:D31"/>
    <mergeCell ref="E31:I31"/>
    <mergeCell ref="A28:B28"/>
    <mergeCell ref="C28:D28"/>
    <mergeCell ref="E28:I28"/>
    <mergeCell ref="A29:B29"/>
    <mergeCell ref="C29:D29"/>
    <mergeCell ref="E29:I29"/>
    <mergeCell ref="A26:B26"/>
    <mergeCell ref="C26:D26"/>
    <mergeCell ref="E26:I26"/>
    <mergeCell ref="A27:B27"/>
    <mergeCell ref="C27:D27"/>
    <mergeCell ref="E27:I27"/>
    <mergeCell ref="A24:B24"/>
    <mergeCell ref="C24:D24"/>
    <mergeCell ref="E24:I24"/>
    <mergeCell ref="A25:B25"/>
    <mergeCell ref="C25:D25"/>
    <mergeCell ref="E25:I25"/>
    <mergeCell ref="A22:B22"/>
    <mergeCell ref="C22:D22"/>
    <mergeCell ref="E22:I22"/>
    <mergeCell ref="A23:B23"/>
    <mergeCell ref="C23:D23"/>
    <mergeCell ref="E23:I23"/>
    <mergeCell ref="A20:B20"/>
    <mergeCell ref="C20:D20"/>
    <mergeCell ref="E20:I20"/>
    <mergeCell ref="A21:B21"/>
    <mergeCell ref="C21:D21"/>
    <mergeCell ref="E21:I21"/>
    <mergeCell ref="A17:B17"/>
    <mergeCell ref="C17:D17"/>
    <mergeCell ref="E17:I17"/>
    <mergeCell ref="A18:B18"/>
    <mergeCell ref="C18:D18"/>
    <mergeCell ref="A19:B19"/>
    <mergeCell ref="C19:D19"/>
    <mergeCell ref="E19:I19"/>
    <mergeCell ref="A14:B14"/>
    <mergeCell ref="C14:I14"/>
    <mergeCell ref="A15:B15"/>
    <mergeCell ref="C15:D15"/>
    <mergeCell ref="E15:I15"/>
    <mergeCell ref="A16:B16"/>
    <mergeCell ref="C16:D16"/>
    <mergeCell ref="E16:I16"/>
    <mergeCell ref="A12:B12"/>
    <mergeCell ref="C12:D12"/>
    <mergeCell ref="E12:I12"/>
    <mergeCell ref="A13:B13"/>
    <mergeCell ref="C13:D13"/>
    <mergeCell ref="E13:I13"/>
    <mergeCell ref="A9:B9"/>
    <mergeCell ref="C9:D9"/>
    <mergeCell ref="E9:I9"/>
    <mergeCell ref="A10:B10"/>
    <mergeCell ref="C10:I10"/>
    <mergeCell ref="A11:B11"/>
    <mergeCell ref="C11:I11"/>
    <mergeCell ref="A6:B6"/>
    <mergeCell ref="C6:I6"/>
    <mergeCell ref="A7:B7"/>
    <mergeCell ref="C7:I7"/>
    <mergeCell ref="A8:B8"/>
    <mergeCell ref="C8:D8"/>
    <mergeCell ref="E8:I8"/>
    <mergeCell ref="A1:K1"/>
    <mergeCell ref="A3:I3"/>
    <mergeCell ref="A4:B4"/>
    <mergeCell ref="C4:I4"/>
    <mergeCell ref="A5:B5"/>
    <mergeCell ref="C5:I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51"/>
  </sheetPr>
  <dimension ref="B1:L196"/>
  <sheetViews>
    <sheetView showGridLines="0" zoomScale="78" zoomScaleNormal="55" workbookViewId="0">
      <selection activeCell="I33" sqref="I33"/>
    </sheetView>
  </sheetViews>
  <sheetFormatPr defaultColWidth="8.7109375" defaultRowHeight="12.75"/>
  <cols>
    <col min="1" max="1" width="12.7109375" style="243" customWidth="1"/>
    <col min="2" max="2" width="14.28515625" style="242" customWidth="1"/>
    <col min="3" max="3" width="46.28515625" style="243" customWidth="1"/>
    <col min="4" max="4" width="6.7109375" style="243" bestFit="1" customWidth="1"/>
    <col min="5" max="5" width="12.28515625" style="243" bestFit="1" customWidth="1"/>
    <col min="6" max="6" width="12.42578125" style="243" customWidth="1"/>
    <col min="7" max="7" width="12.7109375" style="243" bestFit="1" customWidth="1"/>
    <col min="8" max="8" width="15.42578125" style="243" customWidth="1"/>
    <col min="9" max="11" width="8.7109375" style="243"/>
    <col min="12" max="12" width="10" style="243" customWidth="1"/>
    <col min="13" max="13" width="9.28515625" style="243" customWidth="1"/>
    <col min="14" max="14" width="9.28515625" style="243" bestFit="1" customWidth="1"/>
    <col min="15" max="16" width="9.7109375" style="243" customWidth="1"/>
    <col min="17" max="18" width="8.7109375" style="243"/>
    <col min="19" max="19" width="13" style="243" customWidth="1"/>
    <col min="20" max="16384" width="8.7109375" style="243"/>
  </cols>
  <sheetData>
    <row r="1" spans="2:8" ht="13.5" thickBot="1"/>
    <row r="2" spans="2:8" ht="13.5" thickBot="1">
      <c r="B2" s="408" t="s">
        <v>395</v>
      </c>
      <c r="C2" s="409"/>
      <c r="D2" s="409"/>
      <c r="E2" s="409"/>
      <c r="F2" s="409"/>
    </row>
    <row r="3" spans="2:8">
      <c r="B3" s="244" t="s">
        <v>208</v>
      </c>
      <c r="C3" s="245"/>
      <c r="D3" s="246" t="s">
        <v>396</v>
      </c>
      <c r="E3" s="313" t="s">
        <v>433</v>
      </c>
      <c r="F3" s="247" t="s">
        <v>397</v>
      </c>
      <c r="H3" s="306">
        <v>0.12598403563656543</v>
      </c>
    </row>
    <row r="4" spans="2:8" ht="13.5" thickBot="1">
      <c r="B4" s="248">
        <v>1</v>
      </c>
      <c r="C4" s="249" t="s">
        <v>398</v>
      </c>
      <c r="D4" s="250" t="s">
        <v>399</v>
      </c>
      <c r="E4" s="251">
        <f>'[12]GFA &amp; Dep-MYT 5th Control'!$F$4</f>
        <v>4233.460671870208</v>
      </c>
      <c r="F4" s="251">
        <f>'[12]GFA &amp; Dep-MYT 5th Control'!$G$4</f>
        <v>5706.1834717897373</v>
      </c>
      <c r="H4" s="306"/>
    </row>
    <row r="5" spans="2:8" ht="13.5" thickBot="1">
      <c r="H5" s="306"/>
    </row>
    <row r="6" spans="2:8" ht="13.5" thickBot="1">
      <c r="B6" s="408" t="s">
        <v>400</v>
      </c>
      <c r="C6" s="410"/>
      <c r="D6" s="410"/>
      <c r="E6" s="410"/>
      <c r="F6" s="410"/>
      <c r="H6" s="306"/>
    </row>
    <row r="7" spans="2:8">
      <c r="B7" s="244" t="s">
        <v>208</v>
      </c>
      <c r="C7" s="245"/>
      <c r="D7" s="246" t="s">
        <v>396</v>
      </c>
      <c r="E7" s="313" t="s">
        <v>433</v>
      </c>
      <c r="F7" s="247" t="s">
        <v>397</v>
      </c>
      <c r="H7" s="306">
        <v>0.3037354143031703</v>
      </c>
    </row>
    <row r="8" spans="2:8" ht="13.5" thickBot="1">
      <c r="B8" s="248">
        <v>1</v>
      </c>
      <c r="C8" s="249" t="s">
        <v>398</v>
      </c>
      <c r="D8" s="250" t="s">
        <v>399</v>
      </c>
      <c r="E8" s="251">
        <f>'[12]GFA &amp; Dep-MYT 5th Control'!$F$5</f>
        <v>7538.2192954944421</v>
      </c>
      <c r="F8" s="251">
        <f>'[12]GFA &amp; Dep-MYT 5th Control'!$G$5</f>
        <v>8966.4214181002753</v>
      </c>
      <c r="H8" s="306"/>
    </row>
    <row r="9" spans="2:8" ht="13.5" thickBot="1">
      <c r="H9" s="306"/>
    </row>
    <row r="10" spans="2:8" ht="13.5" thickBot="1">
      <c r="B10" s="408" t="s">
        <v>401</v>
      </c>
      <c r="C10" s="409"/>
      <c r="D10" s="409"/>
      <c r="E10" s="409"/>
      <c r="F10" s="409"/>
      <c r="H10" s="306"/>
    </row>
    <row r="11" spans="2:8">
      <c r="B11" s="244" t="s">
        <v>208</v>
      </c>
      <c r="C11" s="245"/>
      <c r="D11" s="246" t="s">
        <v>396</v>
      </c>
      <c r="E11" s="313" t="s">
        <v>433</v>
      </c>
      <c r="F11" s="247" t="s">
        <v>397</v>
      </c>
      <c r="H11" s="306">
        <v>0.57028055006026424</v>
      </c>
    </row>
    <row r="12" spans="2:8" ht="13.5" thickBot="1">
      <c r="B12" s="248">
        <v>1</v>
      </c>
      <c r="C12" s="249" t="s">
        <v>398</v>
      </c>
      <c r="D12" s="250" t="s">
        <v>399</v>
      </c>
      <c r="E12" s="251">
        <f>'[12]GFA &amp; Dep-MYT 5th Control'!$F$6</f>
        <v>14164.489846390199</v>
      </c>
      <c r="F12" s="251">
        <f>'[12]GFA &amp; Dep-MYT 5th Control'!$G$6</f>
        <v>15604.325243374225</v>
      </c>
      <c r="H12" s="306"/>
    </row>
    <row r="13" spans="2:8" ht="13.5" thickBot="1"/>
    <row r="14" spans="2:8" ht="13.5" thickBot="1">
      <c r="B14" s="408" t="s">
        <v>402</v>
      </c>
      <c r="C14" s="409"/>
      <c r="D14" s="409"/>
      <c r="E14" s="409"/>
      <c r="F14" s="409"/>
    </row>
    <row r="15" spans="2:8">
      <c r="B15" s="244" t="s">
        <v>208</v>
      </c>
      <c r="C15" s="245"/>
      <c r="D15" s="246" t="s">
        <v>396</v>
      </c>
      <c r="E15" s="313" t="s">
        <v>433</v>
      </c>
      <c r="F15" s="247" t="s">
        <v>397</v>
      </c>
    </row>
    <row r="16" spans="2:8" ht="13.5" thickBot="1">
      <c r="B16" s="248">
        <v>1</v>
      </c>
      <c r="C16" s="249" t="s">
        <v>398</v>
      </c>
      <c r="D16" s="250" t="s">
        <v>399</v>
      </c>
      <c r="E16" s="251">
        <f>E12+E8+E4</f>
        <v>25936.169813754848</v>
      </c>
      <c r="F16" s="251">
        <f>F12+F8+F4</f>
        <v>30276.930133264235</v>
      </c>
    </row>
    <row r="17" spans="2:12" ht="13.5" thickBot="1"/>
    <row r="18" spans="2:12" ht="21" customHeight="1" thickBot="1">
      <c r="B18" s="411" t="s">
        <v>403</v>
      </c>
      <c r="C18" s="412"/>
      <c r="D18" s="412"/>
      <c r="E18" s="412"/>
      <c r="F18" s="412"/>
    </row>
    <row r="19" spans="2:12" ht="25.5" customHeight="1">
      <c r="B19" s="252" t="s">
        <v>208</v>
      </c>
      <c r="C19" s="253" t="s">
        <v>4</v>
      </c>
      <c r="D19" s="245"/>
      <c r="E19" s="313" t="s">
        <v>433</v>
      </c>
      <c r="F19" s="247" t="s">
        <v>397</v>
      </c>
    </row>
    <row r="20" spans="2:12" s="254" customFormat="1">
      <c r="B20" s="255">
        <v>1</v>
      </c>
      <c r="C20" s="256" t="s">
        <v>404</v>
      </c>
      <c r="D20" s="256"/>
      <c r="E20" s="326">
        <f>'[12]Dist ARR'!I109</f>
        <v>6086.3711559956446</v>
      </c>
      <c r="F20" s="257">
        <f>'[12]Dist ARR'!$J$109</f>
        <v>0</v>
      </c>
    </row>
    <row r="21" spans="2:12" s="254" customFormat="1">
      <c r="B21" s="255">
        <v>2</v>
      </c>
      <c r="C21" s="256" t="s">
        <v>64</v>
      </c>
      <c r="D21" s="256"/>
      <c r="E21" s="327" t="e">
        <f>'[12]Dist ARR'!I110</f>
        <v>#DIV/0!</v>
      </c>
      <c r="F21" s="257">
        <f>'[12]Dist ARR'!$J$110</f>
        <v>0</v>
      </c>
    </row>
    <row r="22" spans="2:12" s="254" customFormat="1">
      <c r="B22" s="255">
        <v>3</v>
      </c>
      <c r="C22" s="256" t="s">
        <v>405</v>
      </c>
      <c r="D22" s="256"/>
      <c r="E22" s="327" t="e">
        <f>'[12]Dist ARR'!I111</f>
        <v>#REF!</v>
      </c>
      <c r="F22" s="257">
        <f>'[12]Dist ARR'!$J$111</f>
        <v>0</v>
      </c>
    </row>
    <row r="23" spans="2:12" s="254" customFormat="1">
      <c r="B23" s="255">
        <v>4</v>
      </c>
      <c r="C23" s="256" t="s">
        <v>121</v>
      </c>
      <c r="D23" s="256"/>
      <c r="E23" s="327" t="e">
        <f>'[12]Dist ARR'!I112</f>
        <v>#DIV/0!</v>
      </c>
      <c r="F23" s="257">
        <f>'[12]Dist ARR'!$J$112</f>
        <v>0</v>
      </c>
    </row>
    <row r="24" spans="2:12" s="254" customFormat="1">
      <c r="B24" s="255">
        <v>5</v>
      </c>
      <c r="C24" s="256" t="s">
        <v>406</v>
      </c>
      <c r="D24" s="256"/>
      <c r="E24" s="327">
        <f>'[12]Dist ARR'!I113</f>
        <v>0</v>
      </c>
      <c r="F24" s="257">
        <f>'[12]Dist ARR'!$J$113</f>
        <v>0</v>
      </c>
    </row>
    <row r="25" spans="2:12" s="254" customFormat="1">
      <c r="B25" s="255"/>
      <c r="C25" s="259" t="s">
        <v>407</v>
      </c>
      <c r="D25" s="256"/>
      <c r="E25" s="328" t="e">
        <f>SUM(E20:E24)</f>
        <v>#DIV/0!</v>
      </c>
      <c r="F25" s="260">
        <f>SUM(F20:F24)</f>
        <v>0</v>
      </c>
    </row>
    <row r="26" spans="2:12" s="254" customFormat="1" ht="15">
      <c r="B26" s="255">
        <v>6</v>
      </c>
      <c r="C26" s="256" t="s">
        <v>408</v>
      </c>
      <c r="D26" s="256"/>
      <c r="E26" s="329">
        <f>'[12]Dist ARR'!$I$124</f>
        <v>0</v>
      </c>
      <c r="F26" s="258">
        <f>'[12]Dist ARR'!$J$124</f>
        <v>0</v>
      </c>
    </row>
    <row r="27" spans="2:12" s="254" customFormat="1" ht="15">
      <c r="B27" s="255">
        <v>7</v>
      </c>
      <c r="C27" s="256" t="s">
        <v>409</v>
      </c>
      <c r="D27" s="256"/>
      <c r="E27" s="330">
        <f>'[12]Dist ARR'!$I$125</f>
        <v>153.60794782560001</v>
      </c>
      <c r="F27" s="258">
        <f>'[12]Dist ARR'!$J$125</f>
        <v>0</v>
      </c>
    </row>
    <row r="28" spans="2:12" s="254" customFormat="1" ht="15">
      <c r="B28" s="255">
        <v>8</v>
      </c>
      <c r="C28" s="256" t="s">
        <v>410</v>
      </c>
      <c r="D28" s="256"/>
      <c r="E28" s="329"/>
      <c r="F28" s="258">
        <f>'[24]Dist ARR'!I14</f>
        <v>0</v>
      </c>
    </row>
    <row r="29" spans="2:12" s="254" customFormat="1" ht="13.5" thickBot="1">
      <c r="B29" s="261"/>
      <c r="C29" s="262" t="s">
        <v>411</v>
      </c>
      <c r="D29" s="263"/>
      <c r="E29" s="331" t="e">
        <f t="shared" ref="E29:F29" si="0">E25-SUM(E26:E28)</f>
        <v>#DIV/0!</v>
      </c>
      <c r="F29" s="264">
        <f t="shared" si="0"/>
        <v>0</v>
      </c>
      <c r="G29" s="265"/>
      <c r="H29" s="265"/>
      <c r="I29" s="265"/>
      <c r="J29" s="265"/>
      <c r="K29" s="265"/>
      <c r="L29" s="265"/>
    </row>
    <row r="30" spans="2:12" s="254" customFormat="1" ht="13.5" thickBot="1">
      <c r="B30" s="266"/>
      <c r="C30" s="267"/>
      <c r="F30" s="268"/>
      <c r="G30" s="265"/>
      <c r="H30" s="265"/>
      <c r="I30" s="265"/>
      <c r="J30" s="265"/>
      <c r="K30" s="265"/>
      <c r="L30" s="265"/>
    </row>
    <row r="31" spans="2:12" s="254" customFormat="1" ht="13.5" thickBot="1">
      <c r="B31" s="413" t="s">
        <v>412</v>
      </c>
      <c r="C31" s="414"/>
      <c r="D31" s="414"/>
      <c r="E31" s="415"/>
      <c r="F31" s="414"/>
      <c r="G31" s="265"/>
      <c r="H31" s="265"/>
      <c r="I31" s="265"/>
      <c r="J31" s="265"/>
      <c r="K31" s="265"/>
      <c r="L31" s="265"/>
    </row>
    <row r="32" spans="2:12" s="254" customFormat="1">
      <c r="B32" s="252" t="s">
        <v>208</v>
      </c>
      <c r="C32" s="253" t="s">
        <v>4</v>
      </c>
      <c r="D32" s="314"/>
      <c r="E32" s="313" t="s">
        <v>433</v>
      </c>
      <c r="F32" s="247" t="s">
        <v>397</v>
      </c>
      <c r="G32" s="265"/>
      <c r="H32" s="265"/>
      <c r="I32" s="265"/>
      <c r="J32" s="265"/>
      <c r="K32" s="265"/>
      <c r="L32" s="265"/>
    </row>
    <row r="33" spans="2:12" s="254" customFormat="1">
      <c r="B33" s="255">
        <v>1</v>
      </c>
      <c r="C33" s="256" t="s">
        <v>404</v>
      </c>
      <c r="E33" s="257">
        <f>E$4/E$16*E20</f>
        <v>993.45482036626527</v>
      </c>
      <c r="F33" s="257">
        <f>F$4/F$16*F20</f>
        <v>0</v>
      </c>
      <c r="G33" s="265"/>
      <c r="H33" s="265"/>
      <c r="I33" s="265"/>
      <c r="J33" s="265"/>
      <c r="K33" s="265"/>
      <c r="L33" s="265"/>
    </row>
    <row r="34" spans="2:12" s="254" customFormat="1">
      <c r="B34" s="255">
        <v>2</v>
      </c>
      <c r="C34" s="256" t="s">
        <v>64</v>
      </c>
      <c r="E34" s="257" t="e">
        <f t="shared" ref="E34:F37" si="1">E$4/E$16*E21</f>
        <v>#DIV/0!</v>
      </c>
      <c r="F34" s="257">
        <f t="shared" si="1"/>
        <v>0</v>
      </c>
      <c r="G34" s="265"/>
      <c r="H34" s="265"/>
      <c r="I34" s="265"/>
      <c r="J34" s="265"/>
      <c r="K34" s="265"/>
      <c r="L34" s="265"/>
    </row>
    <row r="35" spans="2:12" s="254" customFormat="1">
      <c r="B35" s="255">
        <v>3</v>
      </c>
      <c r="C35" s="256" t="s">
        <v>405</v>
      </c>
      <c r="E35" s="257" t="e">
        <f t="shared" si="1"/>
        <v>#REF!</v>
      </c>
      <c r="F35" s="257">
        <f t="shared" si="1"/>
        <v>0</v>
      </c>
      <c r="G35" s="265"/>
      <c r="H35" s="265"/>
      <c r="I35" s="265"/>
      <c r="J35" s="265"/>
      <c r="K35" s="265"/>
      <c r="L35" s="265"/>
    </row>
    <row r="36" spans="2:12" s="254" customFormat="1">
      <c r="B36" s="255">
        <v>4</v>
      </c>
      <c r="C36" s="256" t="s">
        <v>121</v>
      </c>
      <c r="E36" s="257" t="e">
        <f t="shared" si="1"/>
        <v>#DIV/0!</v>
      </c>
      <c r="F36" s="257">
        <f t="shared" si="1"/>
        <v>0</v>
      </c>
      <c r="G36" s="265"/>
      <c r="H36" s="265"/>
      <c r="I36" s="265"/>
      <c r="J36" s="265"/>
      <c r="K36" s="265"/>
      <c r="L36" s="265"/>
    </row>
    <row r="37" spans="2:12" s="254" customFormat="1">
      <c r="B37" s="255">
        <v>5</v>
      </c>
      <c r="C37" s="256" t="s">
        <v>406</v>
      </c>
      <c r="E37" s="257">
        <f t="shared" si="1"/>
        <v>0</v>
      </c>
      <c r="F37" s="257">
        <f t="shared" si="1"/>
        <v>0</v>
      </c>
      <c r="G37" s="265"/>
      <c r="H37" s="265"/>
      <c r="I37" s="265"/>
      <c r="J37" s="265"/>
      <c r="K37" s="265"/>
      <c r="L37" s="265"/>
    </row>
    <row r="38" spans="2:12" s="254" customFormat="1">
      <c r="B38" s="255"/>
      <c r="C38" s="259" t="s">
        <v>407</v>
      </c>
      <c r="E38" s="260" t="e">
        <f t="shared" ref="E38:F38" si="2">SUM(E33:E37)</f>
        <v>#DIV/0!</v>
      </c>
      <c r="F38" s="260">
        <f t="shared" si="2"/>
        <v>0</v>
      </c>
      <c r="G38" s="265"/>
      <c r="H38" s="265"/>
      <c r="I38" s="265"/>
      <c r="J38" s="265"/>
      <c r="K38" s="265"/>
      <c r="L38" s="265"/>
    </row>
    <row r="39" spans="2:12" s="254" customFormat="1">
      <c r="B39" s="255">
        <v>6</v>
      </c>
      <c r="C39" s="256" t="s">
        <v>408</v>
      </c>
      <c r="E39" s="257">
        <f t="shared" ref="E39:F41" si="3">E$4/E$16*E26</f>
        <v>0</v>
      </c>
      <c r="F39" s="257">
        <f t="shared" si="3"/>
        <v>0</v>
      </c>
      <c r="G39" s="265"/>
      <c r="H39" s="265"/>
      <c r="I39" s="265"/>
      <c r="J39" s="265"/>
      <c r="K39" s="265"/>
      <c r="L39" s="265"/>
    </row>
    <row r="40" spans="2:12" s="254" customFormat="1">
      <c r="B40" s="255">
        <v>7</v>
      </c>
      <c r="C40" s="256" t="s">
        <v>409</v>
      </c>
      <c r="E40" s="257">
        <f t="shared" si="3"/>
        <v>25.072831134128968</v>
      </c>
      <c r="F40" s="257">
        <f t="shared" si="3"/>
        <v>0</v>
      </c>
      <c r="G40" s="265"/>
      <c r="H40" s="265"/>
      <c r="I40" s="265"/>
      <c r="J40" s="265"/>
      <c r="K40" s="265"/>
      <c r="L40" s="265"/>
    </row>
    <row r="41" spans="2:12" s="254" customFormat="1">
      <c r="B41" s="255">
        <v>8</v>
      </c>
      <c r="C41" s="256" t="s">
        <v>410</v>
      </c>
      <c r="E41" s="257">
        <f t="shared" si="3"/>
        <v>0</v>
      </c>
      <c r="F41" s="257">
        <f t="shared" si="3"/>
        <v>0</v>
      </c>
      <c r="G41" s="265"/>
      <c r="H41" s="265"/>
      <c r="I41" s="265"/>
      <c r="J41" s="265"/>
      <c r="K41" s="265"/>
      <c r="L41" s="265"/>
    </row>
    <row r="42" spans="2:12" s="254" customFormat="1" ht="13.5" thickBot="1">
      <c r="B42" s="261"/>
      <c r="C42" s="262" t="s">
        <v>411</v>
      </c>
      <c r="D42" s="269"/>
      <c r="E42" s="264" t="e">
        <f t="shared" ref="E42:F42" si="4">E38-SUM(E39:E41)</f>
        <v>#DIV/0!</v>
      </c>
      <c r="F42" s="264">
        <f t="shared" si="4"/>
        <v>0</v>
      </c>
      <c r="G42" s="265"/>
      <c r="H42" s="265"/>
      <c r="I42" s="265"/>
      <c r="J42" s="265"/>
      <c r="K42" s="265"/>
      <c r="L42" s="265"/>
    </row>
    <row r="43" spans="2:12" s="254" customFormat="1" ht="13.5" thickBot="1">
      <c r="B43" s="266"/>
      <c r="C43" s="267"/>
      <c r="F43" s="268"/>
      <c r="G43" s="265"/>
      <c r="H43" s="265"/>
      <c r="I43" s="265"/>
      <c r="J43" s="265"/>
      <c r="K43" s="265"/>
      <c r="L43" s="265"/>
    </row>
    <row r="44" spans="2:12" s="254" customFormat="1" ht="13.5" thickBot="1">
      <c r="B44" s="413" t="s">
        <v>413</v>
      </c>
      <c r="C44" s="414"/>
      <c r="D44" s="414"/>
      <c r="E44" s="414"/>
      <c r="F44" s="414"/>
      <c r="G44" s="265"/>
      <c r="H44" s="265"/>
      <c r="I44" s="265"/>
      <c r="J44" s="265"/>
      <c r="K44" s="265"/>
      <c r="L44" s="265"/>
    </row>
    <row r="45" spans="2:12" s="254" customFormat="1">
      <c r="B45" s="252" t="s">
        <v>208</v>
      </c>
      <c r="C45" s="253" t="s">
        <v>4</v>
      </c>
      <c r="D45" s="245"/>
      <c r="E45" s="313" t="s">
        <v>433</v>
      </c>
      <c r="F45" s="247" t="s">
        <v>397</v>
      </c>
      <c r="G45" s="265"/>
      <c r="H45" s="265"/>
      <c r="I45" s="265"/>
      <c r="J45" s="265"/>
      <c r="K45" s="265"/>
      <c r="L45" s="265"/>
    </row>
    <row r="46" spans="2:12" s="254" customFormat="1">
      <c r="B46" s="255">
        <v>1</v>
      </c>
      <c r="C46" s="256" t="s">
        <v>404</v>
      </c>
      <c r="E46" s="257">
        <f t="shared" ref="E46:F46" si="5">E$8/E$16*E20</f>
        <v>1768.9736309227594</v>
      </c>
      <c r="F46" s="257">
        <f t="shared" si="5"/>
        <v>0</v>
      </c>
      <c r="G46" s="265"/>
      <c r="H46" s="265"/>
      <c r="I46" s="265"/>
      <c r="J46" s="265"/>
      <c r="K46" s="265"/>
      <c r="L46" s="265"/>
    </row>
    <row r="47" spans="2:12" s="254" customFormat="1">
      <c r="B47" s="255">
        <v>2</v>
      </c>
      <c r="C47" s="256" t="s">
        <v>64</v>
      </c>
      <c r="E47" s="257" t="e">
        <f t="shared" ref="E47:F50" si="6">E$8/E$16*E21</f>
        <v>#DIV/0!</v>
      </c>
      <c r="F47" s="257">
        <f t="shared" si="6"/>
        <v>0</v>
      </c>
      <c r="G47" s="265"/>
      <c r="H47" s="265"/>
      <c r="I47" s="265"/>
      <c r="J47" s="265"/>
      <c r="K47" s="265"/>
      <c r="L47" s="265"/>
    </row>
    <row r="48" spans="2:12" s="254" customFormat="1">
      <c r="B48" s="255">
        <v>3</v>
      </c>
      <c r="C48" s="256" t="s">
        <v>405</v>
      </c>
      <c r="E48" s="257" t="e">
        <f t="shared" si="6"/>
        <v>#REF!</v>
      </c>
      <c r="F48" s="257">
        <f t="shared" si="6"/>
        <v>0</v>
      </c>
      <c r="G48" s="265"/>
      <c r="H48" s="265"/>
      <c r="I48" s="265"/>
      <c r="J48" s="265"/>
      <c r="K48" s="265"/>
      <c r="L48" s="265"/>
    </row>
    <row r="49" spans="2:12" s="254" customFormat="1">
      <c r="B49" s="255">
        <v>4</v>
      </c>
      <c r="C49" s="256" t="s">
        <v>121</v>
      </c>
      <c r="E49" s="257" t="e">
        <f t="shared" si="6"/>
        <v>#DIV/0!</v>
      </c>
      <c r="F49" s="257">
        <f t="shared" si="6"/>
        <v>0</v>
      </c>
      <c r="G49" s="265"/>
      <c r="H49" s="265"/>
      <c r="I49" s="265"/>
      <c r="J49" s="265"/>
      <c r="K49" s="265"/>
      <c r="L49" s="265"/>
    </row>
    <row r="50" spans="2:12" s="254" customFormat="1">
      <c r="B50" s="255">
        <v>5</v>
      </c>
      <c r="C50" s="256" t="s">
        <v>406</v>
      </c>
      <c r="E50" s="257">
        <f t="shared" si="6"/>
        <v>0</v>
      </c>
      <c r="F50" s="257">
        <f t="shared" si="6"/>
        <v>0</v>
      </c>
      <c r="G50" s="265"/>
      <c r="H50" s="265"/>
      <c r="I50" s="265"/>
      <c r="J50" s="265"/>
      <c r="K50" s="265"/>
      <c r="L50" s="265"/>
    </row>
    <row r="51" spans="2:12" s="254" customFormat="1">
      <c r="B51" s="255"/>
      <c r="C51" s="259" t="s">
        <v>407</v>
      </c>
      <c r="E51" s="260" t="e">
        <f t="shared" ref="E51:F51" si="7">SUM(E46:E50)</f>
        <v>#DIV/0!</v>
      </c>
      <c r="F51" s="260">
        <f t="shared" si="7"/>
        <v>0</v>
      </c>
      <c r="G51" s="265"/>
      <c r="H51" s="265"/>
      <c r="I51" s="265"/>
      <c r="J51" s="265"/>
      <c r="K51" s="265"/>
      <c r="L51" s="265"/>
    </row>
    <row r="52" spans="2:12" s="254" customFormat="1">
      <c r="B52" s="255">
        <v>6</v>
      </c>
      <c r="C52" s="256" t="s">
        <v>408</v>
      </c>
      <c r="E52" s="257">
        <f t="shared" ref="E52:F52" si="8">E$8/E$16*E26</f>
        <v>0</v>
      </c>
      <c r="F52" s="257">
        <f t="shared" si="8"/>
        <v>0</v>
      </c>
      <c r="G52" s="265"/>
      <c r="H52" s="265"/>
      <c r="I52" s="265"/>
      <c r="J52" s="265"/>
      <c r="K52" s="265"/>
      <c r="L52" s="265"/>
    </row>
    <row r="53" spans="2:12" s="254" customFormat="1">
      <c r="B53" s="255">
        <v>7</v>
      </c>
      <c r="C53" s="256" t="s">
        <v>409</v>
      </c>
      <c r="E53" s="257">
        <f t="shared" ref="E53:F54" si="9">E$8/E$16*E27</f>
        <v>44.64538922112358</v>
      </c>
      <c r="F53" s="257">
        <f t="shared" si="9"/>
        <v>0</v>
      </c>
      <c r="G53" s="265"/>
      <c r="H53" s="265"/>
      <c r="I53" s="265"/>
      <c r="J53" s="265"/>
      <c r="K53" s="265"/>
      <c r="L53" s="265"/>
    </row>
    <row r="54" spans="2:12" s="254" customFormat="1">
      <c r="B54" s="255">
        <v>8</v>
      </c>
      <c r="C54" s="256" t="s">
        <v>410</v>
      </c>
      <c r="E54" s="257">
        <f t="shared" si="9"/>
        <v>0</v>
      </c>
      <c r="F54" s="257">
        <f t="shared" si="9"/>
        <v>0</v>
      </c>
      <c r="G54" s="265"/>
      <c r="H54" s="265"/>
      <c r="I54" s="265"/>
      <c r="J54" s="265"/>
      <c r="K54" s="265"/>
      <c r="L54" s="265"/>
    </row>
    <row r="55" spans="2:12" s="254" customFormat="1" ht="13.5" thickBot="1">
      <c r="B55" s="261"/>
      <c r="C55" s="262" t="s">
        <v>411</v>
      </c>
      <c r="D55" s="269"/>
      <c r="E55" s="264" t="e">
        <f t="shared" ref="E55:F55" si="10">E51-SUM(E52:E54)</f>
        <v>#DIV/0!</v>
      </c>
      <c r="F55" s="264">
        <f t="shared" si="10"/>
        <v>0</v>
      </c>
      <c r="G55" s="265"/>
      <c r="H55" s="265"/>
      <c r="I55" s="265"/>
      <c r="J55" s="265"/>
      <c r="K55" s="265"/>
      <c r="L55" s="265"/>
    </row>
    <row r="56" spans="2:12" s="254" customFormat="1" ht="13.5" thickBot="1">
      <c r="B56" s="266"/>
      <c r="C56" s="267"/>
      <c r="F56" s="268"/>
      <c r="G56" s="265"/>
      <c r="H56" s="265"/>
      <c r="I56" s="265"/>
      <c r="J56" s="265"/>
      <c r="K56" s="265"/>
      <c r="L56" s="265"/>
    </row>
    <row r="57" spans="2:12" s="254" customFormat="1" ht="13.5" thickBot="1">
      <c r="B57" s="413" t="s">
        <v>414</v>
      </c>
      <c r="C57" s="414"/>
      <c r="D57" s="414"/>
      <c r="E57" s="414"/>
      <c r="F57" s="414"/>
      <c r="G57" s="265"/>
      <c r="H57" s="265"/>
      <c r="I57" s="265"/>
      <c r="J57" s="265"/>
      <c r="K57" s="265"/>
      <c r="L57" s="265"/>
    </row>
    <row r="58" spans="2:12" s="254" customFormat="1">
      <c r="B58" s="252" t="s">
        <v>208</v>
      </c>
      <c r="C58" s="253" t="s">
        <v>4</v>
      </c>
      <c r="D58" s="245"/>
      <c r="E58" s="313" t="s">
        <v>433</v>
      </c>
      <c r="F58" s="247" t="s">
        <v>397</v>
      </c>
      <c r="G58" s="265"/>
      <c r="H58" s="265"/>
      <c r="I58" s="265"/>
      <c r="J58" s="265"/>
      <c r="K58" s="265"/>
      <c r="L58" s="265"/>
    </row>
    <row r="59" spans="2:12" s="254" customFormat="1">
      <c r="B59" s="255">
        <v>1</v>
      </c>
      <c r="C59" s="256" t="s">
        <v>404</v>
      </c>
      <c r="E59" s="270">
        <f t="shared" ref="E59:F59" si="11">E$12/E$16*E20</f>
        <v>3323.9427047066206</v>
      </c>
      <c r="F59" s="270">
        <f t="shared" si="11"/>
        <v>0</v>
      </c>
      <c r="G59" s="265"/>
      <c r="H59" s="265"/>
      <c r="I59" s="265"/>
      <c r="J59" s="265"/>
      <c r="K59" s="265"/>
      <c r="L59" s="265"/>
    </row>
    <row r="60" spans="2:12" s="254" customFormat="1">
      <c r="B60" s="255">
        <v>2</v>
      </c>
      <c r="C60" s="256" t="s">
        <v>64</v>
      </c>
      <c r="E60" s="270" t="e">
        <f t="shared" ref="E60:F63" si="12">E$12/E$16*E21</f>
        <v>#DIV/0!</v>
      </c>
      <c r="F60" s="270">
        <f t="shared" si="12"/>
        <v>0</v>
      </c>
      <c r="G60" s="265"/>
      <c r="H60" s="265"/>
      <c r="I60" s="265"/>
      <c r="J60" s="265"/>
      <c r="K60" s="265"/>
      <c r="L60" s="265"/>
    </row>
    <row r="61" spans="2:12" s="254" customFormat="1">
      <c r="B61" s="255">
        <v>3</v>
      </c>
      <c r="C61" s="256" t="s">
        <v>405</v>
      </c>
      <c r="E61" s="270" t="e">
        <f t="shared" si="12"/>
        <v>#REF!</v>
      </c>
      <c r="F61" s="270">
        <f t="shared" si="12"/>
        <v>0</v>
      </c>
      <c r="G61" s="265"/>
      <c r="H61" s="265"/>
      <c r="I61" s="265"/>
      <c r="J61" s="265"/>
      <c r="K61" s="265"/>
      <c r="L61" s="265"/>
    </row>
    <row r="62" spans="2:12" s="254" customFormat="1">
      <c r="B62" s="255">
        <v>4</v>
      </c>
      <c r="C62" s="256" t="s">
        <v>121</v>
      </c>
      <c r="E62" s="270" t="e">
        <f t="shared" si="12"/>
        <v>#DIV/0!</v>
      </c>
      <c r="F62" s="270">
        <f t="shared" si="12"/>
        <v>0</v>
      </c>
      <c r="G62" s="265"/>
      <c r="H62" s="265"/>
      <c r="I62" s="265"/>
      <c r="J62" s="265"/>
      <c r="K62" s="265"/>
      <c r="L62" s="265"/>
    </row>
    <row r="63" spans="2:12" s="254" customFormat="1">
      <c r="B63" s="255">
        <v>5</v>
      </c>
      <c r="C63" s="256" t="s">
        <v>406</v>
      </c>
      <c r="E63" s="270">
        <f t="shared" si="12"/>
        <v>0</v>
      </c>
      <c r="F63" s="270">
        <f t="shared" si="12"/>
        <v>0</v>
      </c>
      <c r="G63" s="265"/>
      <c r="H63" s="265"/>
      <c r="I63" s="265"/>
      <c r="J63" s="265"/>
      <c r="K63" s="265"/>
      <c r="L63" s="265"/>
    </row>
    <row r="64" spans="2:12" s="254" customFormat="1">
      <c r="B64" s="255"/>
      <c r="C64" s="259" t="s">
        <v>407</v>
      </c>
      <c r="E64" s="260" t="e">
        <f t="shared" ref="E64:F64" si="13">SUM(E59:E63)</f>
        <v>#DIV/0!</v>
      </c>
      <c r="F64" s="260">
        <f t="shared" si="13"/>
        <v>0</v>
      </c>
      <c r="G64" s="265"/>
      <c r="H64" s="265"/>
      <c r="I64" s="265"/>
      <c r="J64" s="265"/>
      <c r="K64" s="265"/>
      <c r="L64" s="265"/>
    </row>
    <row r="65" spans="2:12" s="254" customFormat="1">
      <c r="B65" s="255">
        <v>6</v>
      </c>
      <c r="C65" s="256" t="s">
        <v>408</v>
      </c>
      <c r="E65" s="257">
        <f t="shared" ref="E65:F65" si="14">E$12/E$16*E26</f>
        <v>0</v>
      </c>
      <c r="F65" s="257">
        <f t="shared" si="14"/>
        <v>0</v>
      </c>
      <c r="G65" s="265"/>
      <c r="H65" s="265"/>
      <c r="I65" s="265"/>
      <c r="J65" s="265"/>
      <c r="K65" s="265"/>
      <c r="L65" s="265"/>
    </row>
    <row r="66" spans="2:12" s="254" customFormat="1">
      <c r="B66" s="255">
        <v>7</v>
      </c>
      <c r="C66" s="256" t="s">
        <v>409</v>
      </c>
      <c r="E66" s="257">
        <f t="shared" ref="E66:F67" si="15">E$12/E$16*E27</f>
        <v>83.889727470347466</v>
      </c>
      <c r="F66" s="257">
        <f t="shared" si="15"/>
        <v>0</v>
      </c>
      <c r="G66" s="265"/>
      <c r="H66" s="265"/>
      <c r="I66" s="265"/>
      <c r="J66" s="265"/>
      <c r="K66" s="265"/>
      <c r="L66" s="265"/>
    </row>
    <row r="67" spans="2:12" s="254" customFormat="1">
      <c r="B67" s="255">
        <v>8</v>
      </c>
      <c r="C67" s="256" t="s">
        <v>410</v>
      </c>
      <c r="E67" s="257">
        <f t="shared" si="15"/>
        <v>0</v>
      </c>
      <c r="F67" s="257">
        <f t="shared" si="15"/>
        <v>0</v>
      </c>
      <c r="G67" s="265"/>
      <c r="H67" s="265"/>
      <c r="I67" s="265"/>
      <c r="J67" s="265"/>
      <c r="K67" s="265"/>
      <c r="L67" s="265"/>
    </row>
    <row r="68" spans="2:12" s="254" customFormat="1" ht="13.5" thickBot="1">
      <c r="B68" s="261"/>
      <c r="C68" s="262" t="s">
        <v>411</v>
      </c>
      <c r="D68" s="269"/>
      <c r="E68" s="264" t="e">
        <f t="shared" ref="E68:F68" si="16">E64-SUM(E65:E67)</f>
        <v>#DIV/0!</v>
      </c>
      <c r="F68" s="264">
        <f t="shared" si="16"/>
        <v>0</v>
      </c>
      <c r="G68" s="265"/>
      <c r="H68" s="265"/>
      <c r="I68" s="265"/>
      <c r="J68" s="265"/>
      <c r="K68" s="265"/>
      <c r="L68" s="265"/>
    </row>
    <row r="69" spans="2:12" s="254" customFormat="1" ht="13.5" thickBot="1">
      <c r="B69" s="266"/>
      <c r="C69" s="267"/>
      <c r="F69" s="268"/>
      <c r="G69" s="265"/>
      <c r="H69" s="265"/>
      <c r="I69" s="265"/>
      <c r="J69" s="265"/>
      <c r="K69" s="265"/>
      <c r="L69" s="265"/>
    </row>
    <row r="70" spans="2:12" s="254" customFormat="1" ht="13.5" thickBot="1">
      <c r="B70" s="416" t="s">
        <v>415</v>
      </c>
      <c r="C70" s="417"/>
      <c r="D70" s="417"/>
      <c r="E70" s="417"/>
      <c r="F70" s="417"/>
      <c r="G70" s="265"/>
      <c r="H70" s="265"/>
      <c r="I70" s="265"/>
      <c r="J70" s="265"/>
      <c r="K70" s="265"/>
      <c r="L70" s="265"/>
    </row>
    <row r="71" spans="2:12" s="254" customFormat="1">
      <c r="B71" s="271" t="s">
        <v>208</v>
      </c>
      <c r="C71" s="272" t="s">
        <v>4</v>
      </c>
      <c r="D71" s="273"/>
      <c r="E71" s="313" t="s">
        <v>433</v>
      </c>
      <c r="F71" s="247" t="s">
        <v>397</v>
      </c>
      <c r="G71" s="265"/>
      <c r="H71" s="265"/>
      <c r="I71" s="265"/>
      <c r="J71" s="265"/>
      <c r="K71" s="265"/>
      <c r="L71" s="265"/>
    </row>
    <row r="72" spans="2:12" s="254" customFormat="1">
      <c r="B72" s="274">
        <v>1</v>
      </c>
      <c r="C72" s="275" t="s">
        <v>416</v>
      </c>
      <c r="D72" s="276" t="s">
        <v>78</v>
      </c>
      <c r="E72" s="317">
        <v>3.1600000000000003E-2</v>
      </c>
      <c r="F72" s="315">
        <v>3.1399999999999997E-2</v>
      </c>
      <c r="G72" s="265"/>
      <c r="H72" s="265"/>
      <c r="I72" s="265"/>
      <c r="J72" s="265"/>
      <c r="K72" s="265"/>
      <c r="L72" s="265"/>
    </row>
    <row r="73" spans="2:12" s="254" customFormat="1">
      <c r="B73" s="274">
        <v>2</v>
      </c>
      <c r="C73" s="275" t="s">
        <v>417</v>
      </c>
      <c r="D73" s="276" t="s">
        <v>78</v>
      </c>
      <c r="E73" s="317">
        <v>4.0399999999999998E-2</v>
      </c>
      <c r="F73" s="315">
        <v>4.0099999999999997E-2</v>
      </c>
      <c r="G73" s="265"/>
      <c r="H73" s="265"/>
      <c r="I73" s="265"/>
      <c r="J73" s="265"/>
      <c r="K73" s="265"/>
      <c r="L73" s="265"/>
    </row>
    <row r="74" spans="2:12" s="254" customFormat="1" ht="13.5" thickBot="1">
      <c r="B74" s="277">
        <v>3</v>
      </c>
      <c r="C74" s="278" t="s">
        <v>418</v>
      </c>
      <c r="D74" s="276" t="s">
        <v>78</v>
      </c>
      <c r="E74" s="317">
        <v>4.65E-2</v>
      </c>
      <c r="F74" s="316">
        <v>4.5999999999999999E-2</v>
      </c>
      <c r="G74" s="265"/>
      <c r="H74" s="265"/>
      <c r="I74" s="265"/>
      <c r="J74" s="265"/>
      <c r="K74" s="265"/>
      <c r="L74" s="265"/>
    </row>
    <row r="75" spans="2:12" s="254" customFormat="1" ht="13.5" thickBot="1">
      <c r="B75" s="266"/>
      <c r="F75" s="279"/>
    </row>
    <row r="76" spans="2:12" s="254" customFormat="1" ht="13.5" thickBot="1">
      <c r="B76" s="418" t="s">
        <v>419</v>
      </c>
      <c r="C76" s="419"/>
      <c r="D76" s="419"/>
      <c r="E76" s="419"/>
      <c r="F76" s="419"/>
    </row>
    <row r="77" spans="2:12" s="254" customFormat="1">
      <c r="B77" s="271" t="s">
        <v>208</v>
      </c>
      <c r="C77" s="272" t="s">
        <v>4</v>
      </c>
      <c r="D77" s="276" t="s">
        <v>396</v>
      </c>
      <c r="E77" s="313" t="s">
        <v>433</v>
      </c>
      <c r="F77" s="247" t="s">
        <v>397</v>
      </c>
    </row>
    <row r="78" spans="2:12" s="254" customFormat="1">
      <c r="B78" s="274">
        <v>1</v>
      </c>
      <c r="C78" s="275" t="s">
        <v>416</v>
      </c>
      <c r="D78" s="276" t="s">
        <v>420</v>
      </c>
      <c r="E78" s="318">
        <v>1711.63</v>
      </c>
      <c r="F78" s="318">
        <v>1793.59</v>
      </c>
    </row>
    <row r="79" spans="2:12" s="254" customFormat="1">
      <c r="B79" s="274">
        <v>2</v>
      </c>
      <c r="C79" s="275" t="s">
        <v>417</v>
      </c>
      <c r="D79" s="276" t="s">
        <v>420</v>
      </c>
      <c r="E79" s="318">
        <v>2921.27</v>
      </c>
      <c r="F79" s="318">
        <v>3113.49</v>
      </c>
    </row>
    <row r="80" spans="2:12" s="254" customFormat="1">
      <c r="B80" s="274">
        <v>3</v>
      </c>
      <c r="C80" s="275" t="s">
        <v>418</v>
      </c>
      <c r="D80" s="276" t="s">
        <v>420</v>
      </c>
      <c r="E80" s="319">
        <v>5377.06</v>
      </c>
      <c r="F80" s="319">
        <v>5768.05</v>
      </c>
    </row>
    <row r="81" spans="2:11" s="254" customFormat="1" ht="13.5" thickBot="1">
      <c r="B81" s="277"/>
      <c r="C81" s="281" t="s">
        <v>23</v>
      </c>
      <c r="D81" s="282" t="s">
        <v>420</v>
      </c>
      <c r="E81" s="320">
        <f>SUM(E78:E80)</f>
        <v>10009.959999999999</v>
      </c>
      <c r="F81" s="320">
        <f>SUM(F78:F80)</f>
        <v>10675.130000000001</v>
      </c>
    </row>
    <row r="82" spans="2:11" s="254" customFormat="1" ht="13.5" thickBot="1">
      <c r="B82" s="283"/>
      <c r="C82" s="284"/>
      <c r="D82" s="283"/>
      <c r="E82" s="283"/>
      <c r="F82" s="285"/>
    </row>
    <row r="83" spans="2:11" s="254" customFormat="1" ht="13.5" thickBot="1">
      <c r="B83" s="404" t="s">
        <v>421</v>
      </c>
      <c r="C83" s="405"/>
      <c r="D83" s="405"/>
      <c r="E83" s="406"/>
      <c r="F83" s="407"/>
    </row>
    <row r="84" spans="2:11" s="254" customFormat="1">
      <c r="B84" s="286" t="s">
        <v>208</v>
      </c>
      <c r="C84" s="287" t="s">
        <v>4</v>
      </c>
      <c r="D84" s="288"/>
      <c r="E84" s="313" t="s">
        <v>433</v>
      </c>
      <c r="F84" s="247" t="s">
        <v>397</v>
      </c>
    </row>
    <row r="85" spans="2:11" s="254" customFormat="1" ht="13.5" thickBot="1">
      <c r="B85" s="248">
        <v>1</v>
      </c>
      <c r="C85" s="263" t="s">
        <v>416</v>
      </c>
      <c r="D85" s="282" t="s">
        <v>420</v>
      </c>
      <c r="E85" s="289">
        <f t="shared" ref="E85:F85" si="17">E78/(1-E72)</f>
        <v>1767.4824452705493</v>
      </c>
      <c r="F85" s="289">
        <f t="shared" si="17"/>
        <v>1851.734462110262</v>
      </c>
    </row>
    <row r="86" spans="2:11" s="254" customFormat="1" ht="13.5" thickBot="1">
      <c r="B86" s="283"/>
      <c r="C86" s="284"/>
      <c r="D86" s="283"/>
      <c r="E86" s="283"/>
      <c r="F86" s="285"/>
    </row>
    <row r="87" spans="2:11" s="254" customFormat="1" ht="13.5" thickBot="1">
      <c r="B87" s="404" t="s">
        <v>422</v>
      </c>
      <c r="C87" s="405"/>
      <c r="D87" s="405"/>
      <c r="E87" s="405"/>
      <c r="F87" s="405"/>
    </row>
    <row r="88" spans="2:11" s="254" customFormat="1">
      <c r="B88" s="286" t="s">
        <v>208</v>
      </c>
      <c r="C88" s="287" t="s">
        <v>4</v>
      </c>
      <c r="D88" s="288"/>
      <c r="E88" s="313" t="s">
        <v>433</v>
      </c>
      <c r="F88" s="247" t="s">
        <v>397</v>
      </c>
    </row>
    <row r="89" spans="2:11" s="254" customFormat="1">
      <c r="B89" s="244">
        <v>1</v>
      </c>
      <c r="C89" s="256" t="s">
        <v>416</v>
      </c>
      <c r="D89" s="276" t="s">
        <v>420</v>
      </c>
      <c r="E89" s="280">
        <f>E90/(1-E72)</f>
        <v>3143.5956466096036</v>
      </c>
      <c r="F89" s="280">
        <f>F90/(1-F72)</f>
        <v>3348.7059885208546</v>
      </c>
    </row>
    <row r="90" spans="2:11" s="254" customFormat="1" ht="13.5" thickBot="1">
      <c r="B90" s="248">
        <v>2</v>
      </c>
      <c r="C90" s="249" t="s">
        <v>417</v>
      </c>
      <c r="D90" s="282"/>
      <c r="E90" s="289">
        <f t="shared" ref="E90:F90" si="18">E79/(1-E73)</f>
        <v>3044.25802417674</v>
      </c>
      <c r="F90" s="289">
        <f t="shared" si="18"/>
        <v>3243.5566204812999</v>
      </c>
    </row>
    <row r="91" spans="2:11" s="254" customFormat="1" ht="13.5" thickBot="1">
      <c r="B91" s="283"/>
      <c r="C91" s="284"/>
      <c r="D91" s="283"/>
      <c r="E91" s="283"/>
      <c r="F91" s="285"/>
    </row>
    <row r="92" spans="2:11" s="254" customFormat="1" ht="13.5" thickBot="1">
      <c r="B92" s="404" t="s">
        <v>423</v>
      </c>
      <c r="C92" s="405"/>
      <c r="D92" s="405"/>
      <c r="E92" s="405"/>
      <c r="F92" s="405"/>
    </row>
    <row r="93" spans="2:11" s="254" customFormat="1">
      <c r="B93" s="286" t="s">
        <v>208</v>
      </c>
      <c r="C93" s="287" t="s">
        <v>4</v>
      </c>
      <c r="D93" s="288"/>
      <c r="E93" s="313" t="s">
        <v>433</v>
      </c>
      <c r="F93" s="247" t="s">
        <v>397</v>
      </c>
      <c r="I93" s="267"/>
      <c r="J93" s="267"/>
      <c r="K93" s="307"/>
    </row>
    <row r="94" spans="2:11" s="254" customFormat="1">
      <c r="B94" s="244">
        <v>1</v>
      </c>
      <c r="C94" s="256" t="s">
        <v>416</v>
      </c>
      <c r="D94" s="276" t="s">
        <v>420</v>
      </c>
      <c r="E94" s="280">
        <f>E95/(1-E72)</f>
        <v>6068.469382772164</v>
      </c>
      <c r="F94" s="280">
        <f>F95/(1-F72)</f>
        <v>6502.9465633356103</v>
      </c>
    </row>
    <row r="95" spans="2:11" s="254" customFormat="1">
      <c r="B95" s="244">
        <v>2</v>
      </c>
      <c r="C95" s="245" t="s">
        <v>417</v>
      </c>
      <c r="D95" s="276" t="s">
        <v>420</v>
      </c>
      <c r="E95" s="280">
        <f t="shared" ref="E95:F95" si="19">E96/(1-E73)</f>
        <v>5876.7057502765638</v>
      </c>
      <c r="F95" s="280">
        <f t="shared" si="19"/>
        <v>6298.7540412468725</v>
      </c>
    </row>
    <row r="96" spans="2:11" s="254" customFormat="1" ht="13.5" thickBot="1">
      <c r="B96" s="248">
        <v>3</v>
      </c>
      <c r="C96" s="249" t="s">
        <v>418</v>
      </c>
      <c r="D96" s="282" t="s">
        <v>420</v>
      </c>
      <c r="E96" s="289">
        <f>E80/(1-E74)</f>
        <v>5639.286837965391</v>
      </c>
      <c r="F96" s="289">
        <f>F80/(1-F74)</f>
        <v>6046.1740041928724</v>
      </c>
    </row>
    <row r="97" spans="2:6" s="254" customFormat="1" ht="13.5" thickBot="1">
      <c r="B97" s="242"/>
      <c r="C97" s="243"/>
      <c r="D97" s="283"/>
      <c r="E97" s="283"/>
      <c r="F97" s="285"/>
    </row>
    <row r="98" spans="2:6" s="254" customFormat="1" ht="13.5" thickBot="1">
      <c r="B98" s="404" t="s">
        <v>424</v>
      </c>
      <c r="C98" s="405"/>
      <c r="D98" s="405"/>
      <c r="E98" s="406"/>
      <c r="F98" s="407"/>
    </row>
    <row r="99" spans="2:6" s="254" customFormat="1">
      <c r="B99" s="302" t="s">
        <v>208</v>
      </c>
      <c r="C99" s="303" t="s">
        <v>4</v>
      </c>
      <c r="D99" s="304"/>
      <c r="E99" s="313" t="s">
        <v>433</v>
      </c>
      <c r="F99" s="305" t="s">
        <v>397</v>
      </c>
    </row>
    <row r="100" spans="2:6" s="254" customFormat="1">
      <c r="B100" s="244">
        <v>1</v>
      </c>
      <c r="C100" s="256" t="s">
        <v>416</v>
      </c>
      <c r="D100" s="276" t="s">
        <v>420</v>
      </c>
      <c r="E100" s="280">
        <f t="shared" ref="E100" si="20">E85+E89+E94</f>
        <v>10979.547474652318</v>
      </c>
      <c r="F100" s="280">
        <f t="shared" ref="F100" si="21">F85+F89+F94</f>
        <v>11703.387013966727</v>
      </c>
    </row>
    <row r="101" spans="2:6" s="254" customFormat="1">
      <c r="B101" s="244">
        <v>2</v>
      </c>
      <c r="C101" s="245" t="s">
        <v>417</v>
      </c>
      <c r="D101" s="276" t="s">
        <v>420</v>
      </c>
      <c r="E101" s="280">
        <f t="shared" ref="E101" si="22">E90+E95</f>
        <v>8920.9637744533029</v>
      </c>
      <c r="F101" s="280">
        <f t="shared" ref="F101" si="23">F90+F95</f>
        <v>9542.3106617281719</v>
      </c>
    </row>
    <row r="102" spans="2:6" s="254" customFormat="1" ht="13.5" thickBot="1">
      <c r="B102" s="248">
        <v>3</v>
      </c>
      <c r="C102" s="249" t="s">
        <v>418</v>
      </c>
      <c r="D102" s="282" t="s">
        <v>420</v>
      </c>
      <c r="E102" s="289">
        <f t="shared" ref="E102" si="24">E96</f>
        <v>5639.286837965391</v>
      </c>
      <c r="F102" s="289">
        <f t="shared" ref="F102" si="25">F96</f>
        <v>6046.1740041928724</v>
      </c>
    </row>
    <row r="103" spans="2:6" s="254" customFormat="1" ht="13.5" thickBot="1">
      <c r="B103" s="242"/>
      <c r="C103" s="243"/>
      <c r="D103" s="283"/>
      <c r="E103" s="283"/>
      <c r="F103" s="285"/>
    </row>
    <row r="104" spans="2:6" s="254" customFormat="1" ht="13.5" thickBot="1">
      <c r="B104" s="420" t="s">
        <v>425</v>
      </c>
      <c r="C104" s="421"/>
      <c r="D104" s="421"/>
      <c r="E104" s="421"/>
      <c r="F104" s="422"/>
    </row>
    <row r="105" spans="2:6" s="254" customFormat="1">
      <c r="B105" s="286" t="s">
        <v>208</v>
      </c>
      <c r="C105" s="287" t="s">
        <v>4</v>
      </c>
      <c r="D105" s="288"/>
      <c r="E105" s="313" t="s">
        <v>433</v>
      </c>
      <c r="F105" s="247" t="s">
        <v>397</v>
      </c>
    </row>
    <row r="106" spans="2:6" s="254" customFormat="1">
      <c r="B106" s="290">
        <v>1</v>
      </c>
      <c r="C106" s="291" t="s">
        <v>416</v>
      </c>
      <c r="D106" s="292" t="s">
        <v>76</v>
      </c>
      <c r="E106" s="322" t="e">
        <f>E85/E100*E42</f>
        <v>#DIV/0!</v>
      </c>
      <c r="F106" s="322">
        <f>F85/F100*F42</f>
        <v>0</v>
      </c>
    </row>
    <row r="107" spans="2:6" s="254" customFormat="1">
      <c r="B107" s="290">
        <v>2</v>
      </c>
      <c r="C107" s="293" t="s">
        <v>417</v>
      </c>
      <c r="D107" s="292" t="s">
        <v>76</v>
      </c>
      <c r="E107" s="322" t="e">
        <f t="shared" ref="E107" si="26">E89/E100*E42</f>
        <v>#DIV/0!</v>
      </c>
      <c r="F107" s="322">
        <f t="shared" ref="F107" si="27">F89/F100*F42</f>
        <v>0</v>
      </c>
    </row>
    <row r="108" spans="2:6" s="254" customFormat="1">
      <c r="B108" s="290">
        <v>3</v>
      </c>
      <c r="C108" s="293" t="s">
        <v>418</v>
      </c>
      <c r="D108" s="292" t="s">
        <v>76</v>
      </c>
      <c r="E108" s="322" t="e">
        <f t="shared" ref="E108" si="28">E94/E100*E42</f>
        <v>#DIV/0!</v>
      </c>
      <c r="F108" s="322">
        <f t="shared" ref="F108" si="29">F94/F100*F42</f>
        <v>0</v>
      </c>
    </row>
    <row r="109" spans="2:6" s="254" customFormat="1" ht="13.5" thickBot="1">
      <c r="B109" s="242"/>
      <c r="C109" s="243"/>
      <c r="D109" s="243"/>
      <c r="E109" s="243"/>
      <c r="F109" s="243"/>
    </row>
    <row r="110" spans="2:6" s="254" customFormat="1" ht="13.5" thickBot="1">
      <c r="B110" s="420" t="s">
        <v>426</v>
      </c>
      <c r="C110" s="421"/>
      <c r="D110" s="421"/>
      <c r="E110" s="421"/>
      <c r="F110" s="422"/>
    </row>
    <row r="111" spans="2:6" s="254" customFormat="1">
      <c r="B111" s="286" t="s">
        <v>208</v>
      </c>
      <c r="C111" s="287" t="s">
        <v>4</v>
      </c>
      <c r="D111" s="288"/>
      <c r="E111" s="313" t="s">
        <v>433</v>
      </c>
      <c r="F111" s="247" t="s">
        <v>397</v>
      </c>
    </row>
    <row r="112" spans="2:6" s="254" customFormat="1">
      <c r="B112" s="290">
        <v>1</v>
      </c>
      <c r="C112" s="291" t="s">
        <v>416</v>
      </c>
      <c r="D112" s="292" t="s">
        <v>76</v>
      </c>
      <c r="E112" s="322"/>
      <c r="F112" s="322"/>
    </row>
    <row r="113" spans="2:7" s="254" customFormat="1">
      <c r="B113" s="290">
        <v>2</v>
      </c>
      <c r="C113" s="293" t="s">
        <v>417</v>
      </c>
      <c r="D113" s="292" t="s">
        <v>76</v>
      </c>
      <c r="E113" s="322" t="e">
        <f>E90/E101*E55</f>
        <v>#DIV/0!</v>
      </c>
      <c r="F113" s="322">
        <f>F90/F101*F55</f>
        <v>0</v>
      </c>
    </row>
    <row r="114" spans="2:7" s="254" customFormat="1">
      <c r="B114" s="290">
        <v>3</v>
      </c>
      <c r="C114" s="293" t="s">
        <v>418</v>
      </c>
      <c r="D114" s="292" t="s">
        <v>76</v>
      </c>
      <c r="E114" s="322" t="e">
        <f>E95/E101*E55</f>
        <v>#DIV/0!</v>
      </c>
      <c r="F114" s="322">
        <f>F95/F101*F55</f>
        <v>0</v>
      </c>
    </row>
    <row r="115" spans="2:7" s="254" customFormat="1" ht="13.5" thickBot="1">
      <c r="B115" s="242"/>
      <c r="C115" s="243"/>
      <c r="D115" s="243"/>
      <c r="E115" s="243"/>
      <c r="F115" s="243"/>
    </row>
    <row r="116" spans="2:7" s="254" customFormat="1" ht="13.5" thickBot="1">
      <c r="B116" s="420" t="s">
        <v>427</v>
      </c>
      <c r="C116" s="421"/>
      <c r="D116" s="421"/>
      <c r="E116" s="421"/>
      <c r="F116" s="422"/>
    </row>
    <row r="117" spans="2:7" s="254" customFormat="1">
      <c r="B117" s="286" t="s">
        <v>208</v>
      </c>
      <c r="C117" s="287" t="s">
        <v>4</v>
      </c>
      <c r="D117" s="288"/>
      <c r="E117" s="313" t="s">
        <v>433</v>
      </c>
      <c r="F117" s="247" t="s">
        <v>397</v>
      </c>
    </row>
    <row r="118" spans="2:7" s="254" customFormat="1">
      <c r="B118" s="290">
        <v>1</v>
      </c>
      <c r="C118" s="291" t="s">
        <v>416</v>
      </c>
      <c r="D118" s="292" t="s">
        <v>76</v>
      </c>
      <c r="E118" s="322"/>
      <c r="F118" s="322"/>
    </row>
    <row r="119" spans="2:7" s="254" customFormat="1">
      <c r="B119" s="290">
        <v>2</v>
      </c>
      <c r="C119" s="293" t="s">
        <v>417</v>
      </c>
      <c r="D119" s="292" t="s">
        <v>76</v>
      </c>
      <c r="E119" s="322"/>
      <c r="F119" s="322"/>
    </row>
    <row r="120" spans="2:7" s="254" customFormat="1">
      <c r="B120" s="290">
        <v>3</v>
      </c>
      <c r="C120" s="293" t="s">
        <v>418</v>
      </c>
      <c r="D120" s="292" t="s">
        <v>76</v>
      </c>
      <c r="E120" s="322" t="e">
        <f t="shared" ref="E120:F120" si="30">E68</f>
        <v>#DIV/0!</v>
      </c>
      <c r="F120" s="322">
        <f t="shared" si="30"/>
        <v>0</v>
      </c>
    </row>
    <row r="121" spans="2:7" s="254" customFormat="1" ht="13.5" thickBot="1">
      <c r="B121" s="242"/>
      <c r="C121" s="243"/>
      <c r="D121" s="243"/>
      <c r="E121" s="243"/>
      <c r="F121" s="243"/>
    </row>
    <row r="122" spans="2:7" s="254" customFormat="1" ht="13.5" thickBot="1">
      <c r="B122" s="420" t="s">
        <v>428</v>
      </c>
      <c r="C122" s="421"/>
      <c r="D122" s="421"/>
      <c r="E122" s="421"/>
      <c r="F122" s="422"/>
    </row>
    <row r="123" spans="2:7" s="254" customFormat="1">
      <c r="B123" s="286" t="s">
        <v>208</v>
      </c>
      <c r="C123" s="287" t="s">
        <v>4</v>
      </c>
      <c r="D123" s="288"/>
      <c r="E123" s="313" t="s">
        <v>433</v>
      </c>
      <c r="F123" s="247" t="s">
        <v>397</v>
      </c>
    </row>
    <row r="124" spans="2:7" s="254" customFormat="1">
      <c r="B124" s="290">
        <v>1</v>
      </c>
      <c r="C124" s="291" t="s">
        <v>416</v>
      </c>
      <c r="D124" s="292" t="s">
        <v>76</v>
      </c>
      <c r="E124" s="322" t="e">
        <f t="shared" ref="E124:F125" si="31">E106+E112+E118</f>
        <v>#DIV/0!</v>
      </c>
      <c r="F124" s="322">
        <f t="shared" si="31"/>
        <v>0</v>
      </c>
      <c r="G124" s="301"/>
    </row>
    <row r="125" spans="2:7" s="254" customFormat="1">
      <c r="B125" s="290">
        <v>2</v>
      </c>
      <c r="C125" s="293" t="s">
        <v>417</v>
      </c>
      <c r="D125" s="292" t="s">
        <v>76</v>
      </c>
      <c r="E125" s="322" t="e">
        <f t="shared" si="31"/>
        <v>#DIV/0!</v>
      </c>
      <c r="F125" s="322">
        <f t="shared" si="31"/>
        <v>0</v>
      </c>
      <c r="G125" s="301"/>
    </row>
    <row r="126" spans="2:7" s="254" customFormat="1">
      <c r="B126" s="290">
        <v>3</v>
      </c>
      <c r="C126" s="293" t="s">
        <v>418</v>
      </c>
      <c r="D126" s="292" t="s">
        <v>76</v>
      </c>
      <c r="E126" s="322" t="e">
        <f>E114+E120+E108</f>
        <v>#DIV/0!</v>
      </c>
      <c r="F126" s="322">
        <f>F114+F120+F108</f>
        <v>0</v>
      </c>
      <c r="G126" s="301"/>
    </row>
    <row r="127" spans="2:7" s="254" customFormat="1" ht="13.5" thickBot="1">
      <c r="B127" s="242"/>
      <c r="C127" s="243"/>
      <c r="D127" s="242"/>
      <c r="E127" s="242"/>
      <c r="F127" s="294"/>
    </row>
    <row r="128" spans="2:7" s="254" customFormat="1" ht="13.5" thickBot="1">
      <c r="B128" s="420" t="s">
        <v>429</v>
      </c>
      <c r="C128" s="421"/>
      <c r="D128" s="421"/>
      <c r="E128" s="421"/>
      <c r="F128" s="422"/>
    </row>
    <row r="129" spans="2:9" s="254" customFormat="1">
      <c r="B129" s="286" t="s">
        <v>208</v>
      </c>
      <c r="C129" s="287" t="s">
        <v>4</v>
      </c>
      <c r="D129" s="288"/>
      <c r="E129" s="313" t="s">
        <v>433</v>
      </c>
      <c r="F129" s="247" t="s">
        <v>397</v>
      </c>
    </row>
    <row r="130" spans="2:9" s="254" customFormat="1">
      <c r="B130" s="244">
        <v>1</v>
      </c>
      <c r="C130" s="295" t="s">
        <v>430</v>
      </c>
      <c r="D130" s="295"/>
      <c r="E130" s="321" t="e">
        <f>((E124*10^7)/(E78*1000))/12</f>
        <v>#DIV/0!</v>
      </c>
      <c r="F130" s="321">
        <f>((F124*10^7)/(F78*1000))/12</f>
        <v>0</v>
      </c>
      <c r="I130" s="297"/>
    </row>
    <row r="131" spans="2:9" s="254" customFormat="1">
      <c r="B131" s="244">
        <v>2</v>
      </c>
      <c r="C131" s="295" t="s">
        <v>431</v>
      </c>
      <c r="D131" s="295"/>
      <c r="E131" s="321" t="e">
        <f t="shared" ref="E131:F132" si="32">(E125*10^7)/(E79*1000)/12</f>
        <v>#DIV/0!</v>
      </c>
      <c r="F131" s="321">
        <f t="shared" si="32"/>
        <v>0</v>
      </c>
      <c r="I131" s="297"/>
    </row>
    <row r="132" spans="2:9" s="254" customFormat="1" ht="13.5" thickBot="1">
      <c r="B132" s="248">
        <v>3</v>
      </c>
      <c r="C132" s="296" t="s">
        <v>432</v>
      </c>
      <c r="D132" s="296"/>
      <c r="E132" s="321" t="e">
        <f t="shared" si="32"/>
        <v>#DIV/0!</v>
      </c>
      <c r="F132" s="321">
        <f t="shared" si="32"/>
        <v>0</v>
      </c>
      <c r="I132" s="297"/>
    </row>
    <row r="133" spans="2:9" s="254" customFormat="1" ht="13.5" thickBot="1">
      <c r="B133" s="242"/>
      <c r="C133" s="243"/>
      <c r="D133" s="242"/>
      <c r="E133" s="242"/>
      <c r="F133" s="294"/>
    </row>
    <row r="134" spans="2:9" s="254" customFormat="1" ht="13.5" thickBot="1">
      <c r="B134" s="420" t="s">
        <v>429</v>
      </c>
      <c r="C134" s="421"/>
      <c r="D134" s="421"/>
      <c r="E134" s="421"/>
      <c r="F134" s="422"/>
    </row>
    <row r="135" spans="2:9" s="254" customFormat="1">
      <c r="B135" s="286" t="s">
        <v>208</v>
      </c>
      <c r="C135" s="287" t="s">
        <v>4</v>
      </c>
      <c r="D135" s="288"/>
      <c r="E135" s="313" t="s">
        <v>433</v>
      </c>
      <c r="F135" s="247" t="s">
        <v>397</v>
      </c>
      <c r="H135" s="265"/>
    </row>
    <row r="136" spans="2:9" s="254" customFormat="1" ht="15">
      <c r="B136" s="244">
        <v>1</v>
      </c>
      <c r="C136" s="323" t="s">
        <v>434</v>
      </c>
      <c r="D136" s="295"/>
      <c r="E136" s="325" t="e">
        <f>E130/30/24</f>
        <v>#DIV/0!</v>
      </c>
      <c r="F136" s="325">
        <f t="shared" ref="F136:F138" si="33">F130/30/24</f>
        <v>0</v>
      </c>
    </row>
    <row r="137" spans="2:9" s="254" customFormat="1" ht="15">
      <c r="B137" s="244">
        <v>2</v>
      </c>
      <c r="C137" s="324" t="s">
        <v>435</v>
      </c>
      <c r="D137" s="295"/>
      <c r="E137" s="325" t="e">
        <f t="shared" ref="E137:E138" si="34">E131/30/24</f>
        <v>#DIV/0!</v>
      </c>
      <c r="F137" s="325">
        <f t="shared" si="33"/>
        <v>0</v>
      </c>
    </row>
    <row r="138" spans="2:9" s="254" customFormat="1" ht="15.75" thickBot="1">
      <c r="B138" s="248">
        <v>3</v>
      </c>
      <c r="C138" s="323" t="s">
        <v>436</v>
      </c>
      <c r="D138" s="296"/>
      <c r="E138" s="325" t="e">
        <f t="shared" si="34"/>
        <v>#DIV/0!</v>
      </c>
      <c r="F138" s="325">
        <f t="shared" si="33"/>
        <v>0</v>
      </c>
    </row>
    <row r="139" spans="2:9" s="254" customFormat="1">
      <c r="B139" s="243"/>
      <c r="C139" s="243"/>
      <c r="D139" s="243"/>
      <c r="E139" s="243"/>
      <c r="F139" s="243"/>
    </row>
    <row r="140" spans="2:9" s="254" customFormat="1">
      <c r="B140" s="243"/>
      <c r="C140" s="243"/>
      <c r="D140" s="243"/>
      <c r="E140" s="243"/>
      <c r="F140" s="243"/>
    </row>
    <row r="141" spans="2:9" s="254" customFormat="1">
      <c r="B141" s="243"/>
      <c r="C141" s="243"/>
      <c r="D141" s="243"/>
      <c r="E141" s="243"/>
      <c r="F141" s="243"/>
    </row>
    <row r="142" spans="2:9" s="254" customFormat="1">
      <c r="B142" s="243"/>
      <c r="C142" s="243"/>
      <c r="D142" s="243"/>
      <c r="E142" s="243"/>
      <c r="F142" s="243"/>
    </row>
    <row r="143" spans="2:9" s="254" customFormat="1">
      <c r="B143" s="243"/>
      <c r="C143" s="243"/>
      <c r="D143" s="243"/>
      <c r="E143" s="243"/>
      <c r="F143" s="243"/>
    </row>
    <row r="144" spans="2:9" s="254" customFormat="1">
      <c r="B144" s="243"/>
      <c r="C144" s="243"/>
      <c r="D144" s="243"/>
      <c r="E144" s="243"/>
      <c r="F144" s="243"/>
    </row>
    <row r="145" spans="2:6" s="254" customFormat="1">
      <c r="B145" s="243"/>
      <c r="C145" s="243"/>
      <c r="D145" s="243"/>
      <c r="E145" s="243"/>
      <c r="F145" s="243"/>
    </row>
    <row r="146" spans="2:6" s="254" customFormat="1">
      <c r="B146" s="243"/>
      <c r="C146" s="243"/>
      <c r="D146" s="243"/>
      <c r="E146" s="243"/>
      <c r="F146" s="243"/>
    </row>
    <row r="147" spans="2:6" s="254" customFormat="1">
      <c r="B147" s="243"/>
      <c r="C147" s="243"/>
      <c r="D147" s="243"/>
      <c r="E147" s="243"/>
      <c r="F147" s="243"/>
    </row>
    <row r="148" spans="2:6" s="254" customFormat="1">
      <c r="B148" s="243"/>
      <c r="C148" s="243"/>
      <c r="D148" s="243"/>
      <c r="E148" s="243"/>
      <c r="F148" s="243"/>
    </row>
    <row r="149" spans="2:6" s="254" customFormat="1">
      <c r="B149" s="266"/>
    </row>
    <row r="150" spans="2:6" s="254" customFormat="1">
      <c r="B150" s="243"/>
      <c r="C150" s="243"/>
      <c r="D150" s="243"/>
      <c r="E150" s="243"/>
      <c r="F150" s="243"/>
    </row>
    <row r="151" spans="2:6" s="254" customFormat="1">
      <c r="B151" s="243"/>
      <c r="C151" s="243"/>
      <c r="D151" s="243"/>
      <c r="E151" s="243"/>
      <c r="F151" s="243"/>
    </row>
    <row r="152" spans="2:6" s="254" customFormat="1">
      <c r="B152" s="243"/>
      <c r="C152" s="243"/>
      <c r="D152" s="243"/>
      <c r="E152" s="243"/>
      <c r="F152" s="243"/>
    </row>
    <row r="153" spans="2:6" s="254" customFormat="1">
      <c r="B153" s="243"/>
      <c r="C153" s="243"/>
      <c r="D153" s="243"/>
      <c r="E153" s="243"/>
      <c r="F153" s="243"/>
    </row>
    <row r="154" spans="2:6" s="254" customFormat="1">
      <c r="B154" s="243"/>
      <c r="C154" s="243"/>
      <c r="D154" s="243"/>
      <c r="E154" s="243"/>
      <c r="F154" s="243"/>
    </row>
    <row r="155" spans="2:6" s="254" customFormat="1">
      <c r="B155" s="243"/>
      <c r="C155" s="243"/>
      <c r="D155" s="243"/>
      <c r="E155" s="243"/>
      <c r="F155" s="243"/>
    </row>
    <row r="156" spans="2:6" s="254" customFormat="1">
      <c r="B156" s="243"/>
      <c r="C156" s="243"/>
      <c r="D156" s="243"/>
      <c r="E156" s="243"/>
      <c r="F156" s="243"/>
    </row>
    <row r="157" spans="2:6" s="254" customFormat="1">
      <c r="B157" s="243"/>
      <c r="C157" s="243"/>
      <c r="D157" s="243"/>
      <c r="E157" s="243"/>
      <c r="F157" s="243"/>
    </row>
    <row r="158" spans="2:6" s="254" customFormat="1">
      <c r="B158" s="243"/>
      <c r="C158" s="243"/>
      <c r="D158" s="243"/>
      <c r="E158" s="243"/>
      <c r="F158" s="243"/>
    </row>
    <row r="159" spans="2:6" s="254" customFormat="1">
      <c r="B159" s="243"/>
      <c r="C159" s="243"/>
      <c r="D159" s="243"/>
      <c r="E159" s="243"/>
      <c r="F159" s="243"/>
    </row>
    <row r="160" spans="2:6" s="254" customFormat="1">
      <c r="B160" s="243"/>
      <c r="C160" s="243"/>
      <c r="D160" s="243"/>
      <c r="E160" s="243"/>
      <c r="F160" s="243"/>
    </row>
    <row r="161" spans="2:5">
      <c r="B161" s="243"/>
    </row>
    <row r="163" spans="2:5">
      <c r="B163" s="243"/>
    </row>
    <row r="164" spans="2:5">
      <c r="B164" s="243"/>
    </row>
    <row r="165" spans="2:5">
      <c r="B165" s="243"/>
    </row>
    <row r="166" spans="2:5">
      <c r="B166" s="243"/>
    </row>
    <row r="167" spans="2:5">
      <c r="B167" s="243"/>
    </row>
    <row r="173" spans="2:5" ht="27.75" customHeight="1"/>
    <row r="175" spans="2:5">
      <c r="D175" s="298"/>
      <c r="E175" s="312"/>
    </row>
    <row r="176" spans="2:5">
      <c r="B176" s="243"/>
    </row>
    <row r="177" spans="2:2">
      <c r="B177" s="243"/>
    </row>
    <row r="178" spans="2:2">
      <c r="B178" s="243"/>
    </row>
    <row r="179" spans="2:2">
      <c r="B179" s="243"/>
    </row>
    <row r="180" spans="2:2">
      <c r="B180" s="243"/>
    </row>
    <row r="181" spans="2:2">
      <c r="B181" s="243"/>
    </row>
    <row r="182" spans="2:2">
      <c r="B182" s="243"/>
    </row>
    <row r="183" spans="2:2">
      <c r="B183" s="243"/>
    </row>
    <row r="185" spans="2:2">
      <c r="B185" s="243"/>
    </row>
    <row r="186" spans="2:2">
      <c r="B186" s="243"/>
    </row>
    <row r="187" spans="2:2">
      <c r="B187" s="243"/>
    </row>
    <row r="188" spans="2:2">
      <c r="B188" s="243"/>
    </row>
    <row r="189" spans="2:2">
      <c r="B189" s="243"/>
    </row>
    <row r="190" spans="2:2">
      <c r="B190" s="243"/>
    </row>
    <row r="191" spans="2:2">
      <c r="B191" s="243"/>
    </row>
    <row r="192" spans="2:2">
      <c r="B192" s="243"/>
    </row>
    <row r="193" spans="2:6">
      <c r="B193" s="243"/>
    </row>
    <row r="194" spans="2:6">
      <c r="B194" s="243"/>
    </row>
    <row r="196" spans="2:6">
      <c r="B196" s="299"/>
      <c r="C196" s="300"/>
      <c r="D196" s="300"/>
      <c r="E196" s="300"/>
      <c r="F196" s="300"/>
    </row>
  </sheetData>
  <mergeCells count="20">
    <mergeCell ref="B104:F104"/>
    <mergeCell ref="B110:F110"/>
    <mergeCell ref="B116:F116"/>
    <mergeCell ref="B122:F122"/>
    <mergeCell ref="B134:F134"/>
    <mergeCell ref="B128:F128"/>
    <mergeCell ref="B92:F92"/>
    <mergeCell ref="B98:F98"/>
    <mergeCell ref="B87:F87"/>
    <mergeCell ref="B2:F2"/>
    <mergeCell ref="B6:F6"/>
    <mergeCell ref="B10:F10"/>
    <mergeCell ref="B14:F14"/>
    <mergeCell ref="B18:F18"/>
    <mergeCell ref="B31:F31"/>
    <mergeCell ref="B44:F44"/>
    <mergeCell ref="B57:F57"/>
    <mergeCell ref="B70:F70"/>
    <mergeCell ref="B76:F76"/>
    <mergeCell ref="B83:F83"/>
  </mergeCells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1"/>
  <sheetViews>
    <sheetView workbookViewId="0">
      <selection activeCell="C10" sqref="C10"/>
    </sheetView>
  </sheetViews>
  <sheetFormatPr defaultRowHeight="15"/>
  <cols>
    <col min="1" max="1" width="42.5703125" bestFit="1" customWidth="1"/>
  </cols>
  <sheetData>
    <row r="3" spans="1:4">
      <c r="A3" t="s">
        <v>284</v>
      </c>
      <c r="B3">
        <v>22196.41</v>
      </c>
    </row>
    <row r="4" spans="1:4">
      <c r="A4" t="s">
        <v>285</v>
      </c>
      <c r="B4">
        <v>23948.52</v>
      </c>
    </row>
    <row r="5" spans="1:4">
      <c r="A5" t="s">
        <v>286</v>
      </c>
      <c r="B5">
        <v>11252.77</v>
      </c>
    </row>
    <row r="6" spans="1:4">
      <c r="A6" t="s">
        <v>287</v>
      </c>
      <c r="B6">
        <v>12142.87</v>
      </c>
      <c r="C6">
        <f>B6-B5</f>
        <v>890.10000000000036</v>
      </c>
    </row>
    <row r="7" spans="1:4">
      <c r="A7" t="s">
        <v>288</v>
      </c>
      <c r="B7">
        <v>7599.84</v>
      </c>
    </row>
    <row r="8" spans="1:4">
      <c r="A8" t="s">
        <v>289</v>
      </c>
      <c r="B8">
        <v>8614.4599999999991</v>
      </c>
    </row>
    <row r="9" spans="1:4">
      <c r="A9" t="s">
        <v>290</v>
      </c>
      <c r="B9">
        <v>3693.41</v>
      </c>
      <c r="C9">
        <f>B5-B9</f>
        <v>7559.3600000000006</v>
      </c>
    </row>
    <row r="10" spans="1:4">
      <c r="A10" t="s">
        <v>291</v>
      </c>
      <c r="B10">
        <v>4121.9399999999996</v>
      </c>
      <c r="C10">
        <f>B10-B9</f>
        <v>428.52999999999975</v>
      </c>
      <c r="D10">
        <f>C6-C10</f>
        <v>461.57000000000062</v>
      </c>
    </row>
    <row r="11" spans="1:4">
      <c r="A11" t="s">
        <v>292</v>
      </c>
      <c r="B11">
        <v>1752.11</v>
      </c>
    </row>
    <row r="12" spans="1:4">
      <c r="A12" t="s">
        <v>293</v>
      </c>
      <c r="B12">
        <v>829.45</v>
      </c>
    </row>
    <row r="13" spans="1:4">
      <c r="A13" t="s">
        <v>294</v>
      </c>
      <c r="B13">
        <v>890.1</v>
      </c>
    </row>
    <row r="14" spans="1:4">
      <c r="A14" t="s">
        <v>295</v>
      </c>
      <c r="B14">
        <v>378.52</v>
      </c>
    </row>
    <row r="15" spans="1:4">
      <c r="A15" t="s">
        <v>296</v>
      </c>
      <c r="B15">
        <v>428.53</v>
      </c>
      <c r="C15">
        <f>B15-B14</f>
        <v>50.009999999999991</v>
      </c>
    </row>
    <row r="16" spans="1:4">
      <c r="A16" t="s">
        <v>297</v>
      </c>
      <c r="B16">
        <v>11252.77</v>
      </c>
    </row>
    <row r="17" spans="1:2">
      <c r="A17" t="s">
        <v>298</v>
      </c>
      <c r="B17">
        <v>12142.87</v>
      </c>
    </row>
    <row r="18" spans="1:2">
      <c r="A18" t="s">
        <v>299</v>
      </c>
      <c r="B18">
        <v>540.61</v>
      </c>
    </row>
    <row r="19" spans="1:2">
      <c r="A19" t="s">
        <v>300</v>
      </c>
      <c r="B19">
        <v>595.29</v>
      </c>
    </row>
    <row r="20" spans="1:2">
      <c r="A20" t="s">
        <v>301</v>
      </c>
      <c r="B20">
        <v>10.58</v>
      </c>
    </row>
    <row r="21" spans="1:2">
      <c r="A21" t="s">
        <v>301</v>
      </c>
      <c r="B21">
        <v>20.77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4"/>
  <sheetViews>
    <sheetView topLeftCell="A24" workbookViewId="0">
      <selection activeCell="G30" sqref="G30"/>
    </sheetView>
  </sheetViews>
  <sheetFormatPr defaultRowHeight="15"/>
  <cols>
    <col min="1" max="1" width="5.42578125" bestFit="1" customWidth="1"/>
    <col min="2" max="2" width="23.42578125" customWidth="1"/>
    <col min="3" max="3" width="10.7109375" bestFit="1" customWidth="1"/>
    <col min="4" max="5" width="10" customWidth="1"/>
  </cols>
  <sheetData>
    <row r="2" spans="1:9">
      <c r="A2" s="369" t="s">
        <v>18</v>
      </c>
      <c r="B2" s="370" t="s">
        <v>19</v>
      </c>
      <c r="C2" s="364" t="s">
        <v>1</v>
      </c>
      <c r="D2" s="364"/>
      <c r="E2" s="23"/>
      <c r="F2" s="364" t="s">
        <v>2</v>
      </c>
      <c r="G2" s="364"/>
      <c r="H2" s="364" t="s">
        <v>3</v>
      </c>
      <c r="I2" s="364"/>
    </row>
    <row r="3" spans="1:9">
      <c r="A3" s="369"/>
      <c r="B3" s="370"/>
      <c r="C3" s="22" t="s">
        <v>5</v>
      </c>
      <c r="D3" s="22" t="s">
        <v>6</v>
      </c>
      <c r="E3" s="22"/>
      <c r="F3" s="22" t="s">
        <v>5</v>
      </c>
      <c r="G3" s="22" t="s">
        <v>8</v>
      </c>
      <c r="H3" s="22" t="s">
        <v>5</v>
      </c>
      <c r="I3" s="22" t="s">
        <v>8</v>
      </c>
    </row>
    <row r="4" spans="1:9">
      <c r="A4" s="24">
        <v>1</v>
      </c>
      <c r="B4" s="24" t="s">
        <v>20</v>
      </c>
      <c r="C4" s="237">
        <v>3162.37</v>
      </c>
      <c r="D4" s="237">
        <v>3611.43</v>
      </c>
      <c r="E4" s="237">
        <f>C4-D4</f>
        <v>-449.05999999999995</v>
      </c>
      <c r="F4" s="24">
        <v>3345.49</v>
      </c>
      <c r="G4" s="82">
        <f>C13</f>
        <v>3820.5317970000001</v>
      </c>
      <c r="H4" s="24">
        <v>3539.21</v>
      </c>
      <c r="I4" s="82">
        <f>D13</f>
        <v>4041.7405880463002</v>
      </c>
    </row>
    <row r="5" spans="1:9">
      <c r="A5" s="24">
        <v>2</v>
      </c>
      <c r="B5" s="24" t="s">
        <v>21</v>
      </c>
      <c r="C5" s="237">
        <v>205.55</v>
      </c>
      <c r="D5" s="237">
        <v>212.96</v>
      </c>
      <c r="E5" s="237">
        <f t="shared" ref="E5:E7" si="0">C5-D5</f>
        <v>-7.4099999999999966</v>
      </c>
      <c r="F5" s="24">
        <v>240.52</v>
      </c>
      <c r="G5" s="82">
        <f>C26</f>
        <v>301.55018443200004</v>
      </c>
      <c r="H5" s="24">
        <v>280.49</v>
      </c>
      <c r="I5" s="82">
        <f>D26</f>
        <v>326.57787582687558</v>
      </c>
    </row>
    <row r="6" spans="1:9">
      <c r="A6" s="24">
        <v>3</v>
      </c>
      <c r="B6" s="24" t="s">
        <v>22</v>
      </c>
      <c r="C6" s="237">
        <v>217.64</v>
      </c>
      <c r="D6" s="237">
        <f>393.5-D5+20.5</f>
        <v>201.04</v>
      </c>
      <c r="E6" s="237">
        <f t="shared" si="0"/>
        <v>16.599999999999994</v>
      </c>
      <c r="F6" s="24">
        <v>228.38</v>
      </c>
      <c r="G6" s="82">
        <f>C19</f>
        <v>210.95127199999996</v>
      </c>
      <c r="H6" s="24">
        <v>239.64</v>
      </c>
      <c r="I6" s="82">
        <f>D19</f>
        <v>221.35116970959993</v>
      </c>
    </row>
    <row r="7" spans="1:9">
      <c r="A7" s="24"/>
      <c r="B7" s="24" t="s">
        <v>23</v>
      </c>
      <c r="C7" s="238">
        <f>SUM(C4:C6)</f>
        <v>3585.56</v>
      </c>
      <c r="D7" s="238">
        <f>SUM(D4:D6)</f>
        <v>4025.43</v>
      </c>
      <c r="E7" s="237">
        <f t="shared" si="0"/>
        <v>-439.86999999999989</v>
      </c>
      <c r="F7" s="22">
        <f t="shared" ref="F7:I7" si="1">SUM(F4:F6)</f>
        <v>3814.39</v>
      </c>
      <c r="G7" s="22">
        <f t="shared" si="1"/>
        <v>4333.0332534320005</v>
      </c>
      <c r="H7" s="22">
        <f t="shared" si="1"/>
        <v>4059.3399999999997</v>
      </c>
      <c r="I7" s="22">
        <f t="shared" si="1"/>
        <v>4589.6696335827755</v>
      </c>
    </row>
    <row r="10" spans="1:9">
      <c r="A10" s="22" t="s">
        <v>18</v>
      </c>
      <c r="B10" s="22" t="s">
        <v>20</v>
      </c>
      <c r="C10" s="22" t="s">
        <v>2</v>
      </c>
      <c r="D10" s="22" t="s">
        <v>3</v>
      </c>
      <c r="E10" s="21"/>
    </row>
    <row r="11" spans="1:9">
      <c r="A11" s="24">
        <v>1</v>
      </c>
      <c r="B11" s="24" t="s">
        <v>24</v>
      </c>
      <c r="C11" s="24">
        <f>D4</f>
        <v>3611.43</v>
      </c>
      <c r="D11" s="82">
        <f>C13</f>
        <v>3820.5317970000001</v>
      </c>
      <c r="E11" s="26"/>
    </row>
    <row r="12" spans="1:9">
      <c r="A12" s="24">
        <v>2</v>
      </c>
      <c r="B12" s="24" t="s">
        <v>25</v>
      </c>
      <c r="C12" s="83">
        <f>1+5.79%</f>
        <v>1.0579000000000001</v>
      </c>
      <c r="D12" s="83">
        <f>C12</f>
        <v>1.0579000000000001</v>
      </c>
      <c r="E12" s="234"/>
    </row>
    <row r="13" spans="1:9">
      <c r="A13" s="24">
        <v>3</v>
      </c>
      <c r="B13" s="22" t="s">
        <v>26</v>
      </c>
      <c r="C13" s="84">
        <f>C11*C12</f>
        <v>3820.5317970000001</v>
      </c>
      <c r="D13" s="84">
        <f>D11*D12</f>
        <v>4041.7405880463002</v>
      </c>
      <c r="E13" s="235"/>
    </row>
    <row r="16" spans="1:9">
      <c r="A16" s="22" t="s">
        <v>18</v>
      </c>
      <c r="B16" s="22" t="s">
        <v>22</v>
      </c>
      <c r="C16" s="22" t="s">
        <v>2</v>
      </c>
      <c r="D16" s="22" t="s">
        <v>3</v>
      </c>
      <c r="E16" s="21"/>
    </row>
    <row r="17" spans="1:5">
      <c r="A17" s="24">
        <v>1</v>
      </c>
      <c r="B17" s="24" t="s">
        <v>27</v>
      </c>
      <c r="C17" s="67">
        <f>D6</f>
        <v>201.04</v>
      </c>
      <c r="D17" s="82">
        <f>C19</f>
        <v>210.95127199999996</v>
      </c>
      <c r="E17" s="26"/>
    </row>
    <row r="18" spans="1:5">
      <c r="A18" s="24">
        <v>2</v>
      </c>
      <c r="B18" s="24" t="s">
        <v>30</v>
      </c>
      <c r="C18" s="83">
        <f>C24</f>
        <v>1.0492999999999999</v>
      </c>
      <c r="D18" s="83">
        <f>D24</f>
        <v>1.0492999999999999</v>
      </c>
      <c r="E18" s="234"/>
    </row>
    <row r="19" spans="1:5">
      <c r="A19" s="24">
        <v>3</v>
      </c>
      <c r="B19" s="22" t="s">
        <v>28</v>
      </c>
      <c r="C19" s="84">
        <f>C17*C18</f>
        <v>210.95127199999996</v>
      </c>
      <c r="D19" s="84">
        <f>D17*D18</f>
        <v>221.35116970959993</v>
      </c>
      <c r="E19" s="235"/>
    </row>
    <row r="22" spans="1:5">
      <c r="A22" s="22" t="s">
        <v>18</v>
      </c>
      <c r="B22" s="22" t="s">
        <v>21</v>
      </c>
      <c r="C22" s="22" t="s">
        <v>2</v>
      </c>
      <c r="D22" s="22" t="s">
        <v>3</v>
      </c>
      <c r="E22" s="21"/>
    </row>
    <row r="23" spans="1:5">
      <c r="A23" s="24">
        <v>1</v>
      </c>
      <c r="B23" s="24" t="s">
        <v>29</v>
      </c>
      <c r="C23" s="82">
        <f>RoE!E32</f>
        <v>23948.520000000004</v>
      </c>
      <c r="D23" s="82">
        <f>RoE!F32</f>
        <v>25936.169813754852</v>
      </c>
      <c r="E23" s="26"/>
    </row>
    <row r="24" spans="1:5">
      <c r="A24" s="24">
        <v>2</v>
      </c>
      <c r="B24" s="24" t="s">
        <v>30</v>
      </c>
      <c r="C24" s="83">
        <f>1+4.93%</f>
        <v>1.0492999999999999</v>
      </c>
      <c r="D24" s="83">
        <f>C24</f>
        <v>1.0492999999999999</v>
      </c>
      <c r="E24" s="234"/>
    </row>
    <row r="25" spans="1:5">
      <c r="A25" s="24">
        <v>3</v>
      </c>
      <c r="B25" s="24" t="s">
        <v>31</v>
      </c>
      <c r="C25" s="63">
        <v>1.2E-2</v>
      </c>
      <c r="D25" s="63">
        <v>1.2E-2</v>
      </c>
      <c r="E25" s="236"/>
    </row>
    <row r="26" spans="1:5">
      <c r="A26" s="24">
        <v>3</v>
      </c>
      <c r="B26" s="22" t="s">
        <v>32</v>
      </c>
      <c r="C26" s="84">
        <f>C23*C24*C25</f>
        <v>301.55018443200004</v>
      </c>
      <c r="D26" s="84">
        <f>(D23*D25)*(D24)</f>
        <v>326.57787582687558</v>
      </c>
      <c r="E26" s="235"/>
    </row>
    <row r="29" spans="1:5" ht="15.75" thickBot="1"/>
    <row r="30" spans="1:5" ht="33.75" thickBot="1">
      <c r="A30" s="332" t="s">
        <v>208</v>
      </c>
      <c r="B30" s="333" t="s">
        <v>4</v>
      </c>
      <c r="C30" s="333" t="s">
        <v>438</v>
      </c>
      <c r="D30" s="423"/>
      <c r="E30" s="423"/>
    </row>
    <row r="31" spans="1:5" ht="33">
      <c r="A31" s="365">
        <v>1</v>
      </c>
      <c r="B31" s="334" t="s">
        <v>439</v>
      </c>
      <c r="C31" s="367">
        <f>RoE!E36-RoE!D36</f>
        <v>428.5300000000002</v>
      </c>
      <c r="D31" s="423"/>
      <c r="E31" s="423">
        <v>428.53</v>
      </c>
    </row>
    <row r="32" spans="1:5" ht="43.5" thickBot="1">
      <c r="A32" s="366"/>
      <c r="B32" s="335" t="s">
        <v>440</v>
      </c>
      <c r="C32" s="368"/>
      <c r="D32" s="423"/>
      <c r="E32" s="423"/>
    </row>
    <row r="33" spans="1:5" ht="33.75" thickBot="1">
      <c r="A33" s="336">
        <v>2</v>
      </c>
      <c r="B33" s="337" t="s">
        <v>441</v>
      </c>
      <c r="C33" s="338">
        <v>98.96</v>
      </c>
      <c r="D33" s="423"/>
      <c r="E33" s="423"/>
    </row>
    <row r="34" spans="1:5" ht="17.25" thickBot="1">
      <c r="A34" s="336">
        <v>3</v>
      </c>
      <c r="B34" s="337" t="s">
        <v>442</v>
      </c>
      <c r="C34" s="338">
        <v>11.73</v>
      </c>
      <c r="D34" s="423">
        <v>-5.29</v>
      </c>
      <c r="E34" s="423"/>
    </row>
    <row r="35" spans="1:5" ht="33.75" thickBot="1">
      <c r="A35" s="339">
        <v>4</v>
      </c>
      <c r="B35" s="340" t="s">
        <v>443</v>
      </c>
      <c r="C35" s="338">
        <v>10.61</v>
      </c>
      <c r="D35" s="423"/>
      <c r="E35" s="423"/>
    </row>
    <row r="36" spans="1:5" ht="33.75" thickBot="1">
      <c r="A36" s="339">
        <v>5</v>
      </c>
      <c r="B36" s="340" t="s">
        <v>444</v>
      </c>
      <c r="C36" s="338">
        <v>-9.4600000000000009</v>
      </c>
      <c r="D36" s="423"/>
      <c r="E36" s="423"/>
    </row>
    <row r="37" spans="1:5" ht="33.75" thickBot="1">
      <c r="A37" s="339">
        <v>6</v>
      </c>
      <c r="B37" s="340" t="s">
        <v>445</v>
      </c>
      <c r="C37" s="338">
        <v>30.48</v>
      </c>
      <c r="D37" s="423">
        <v>4.96</v>
      </c>
      <c r="E37" s="423"/>
    </row>
    <row r="38" spans="1:5" ht="33.75" thickBot="1">
      <c r="A38" s="339">
        <v>7</v>
      </c>
      <c r="B38" s="340" t="s">
        <v>446</v>
      </c>
      <c r="C38" s="338">
        <v>0.88</v>
      </c>
      <c r="D38" s="423"/>
      <c r="E38" s="423"/>
    </row>
    <row r="39" spans="1:5" ht="33.75" thickBot="1">
      <c r="A39" s="339">
        <v>8</v>
      </c>
      <c r="B39" s="340" t="s">
        <v>447</v>
      </c>
      <c r="C39" s="338">
        <v>0.24</v>
      </c>
      <c r="D39" s="423"/>
      <c r="E39" s="423"/>
    </row>
    <row r="40" spans="1:5" ht="33.75" thickBot="1">
      <c r="A40" s="339">
        <v>9</v>
      </c>
      <c r="B40" s="340" t="s">
        <v>448</v>
      </c>
      <c r="C40" s="338">
        <v>0.5</v>
      </c>
      <c r="D40" s="423"/>
      <c r="E40" s="423"/>
    </row>
    <row r="41" spans="1:5" ht="33.75" thickBot="1">
      <c r="A41" s="339">
        <v>10</v>
      </c>
      <c r="B41" s="340" t="s">
        <v>449</v>
      </c>
      <c r="C41" s="338">
        <v>25</v>
      </c>
      <c r="D41" s="423"/>
      <c r="E41" s="423"/>
    </row>
    <row r="42" spans="1:5" ht="17.25" thickBot="1">
      <c r="A42" s="339">
        <v>11</v>
      </c>
      <c r="B42" s="340" t="s">
        <v>450</v>
      </c>
      <c r="C42" s="338">
        <v>6.22</v>
      </c>
      <c r="D42" s="423"/>
      <c r="E42" s="423"/>
    </row>
    <row r="43" spans="1:5" ht="33.75" thickBot="1">
      <c r="A43" s="339">
        <v>12</v>
      </c>
      <c r="B43" s="340" t="s">
        <v>451</v>
      </c>
      <c r="C43" s="338">
        <v>8.77</v>
      </c>
      <c r="D43" s="423"/>
      <c r="E43" s="423"/>
    </row>
    <row r="44" spans="1:5" ht="17.25" thickBot="1">
      <c r="A44" s="339"/>
      <c r="B44" s="341" t="s">
        <v>452</v>
      </c>
      <c r="C44" s="342">
        <f>SUM(C31:C43)</f>
        <v>612.46000000000026</v>
      </c>
      <c r="D44" s="423">
        <v>570.44000000000005</v>
      </c>
      <c r="E44" s="423"/>
    </row>
  </sheetData>
  <mergeCells count="7">
    <mergeCell ref="F2:G2"/>
    <mergeCell ref="H2:I2"/>
    <mergeCell ref="A31:A32"/>
    <mergeCell ref="C31:C32"/>
    <mergeCell ref="A2:A3"/>
    <mergeCell ref="B2:B3"/>
    <mergeCell ref="C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8"/>
  <sheetViews>
    <sheetView workbookViewId="0">
      <selection activeCell="B17" sqref="B17"/>
    </sheetView>
  </sheetViews>
  <sheetFormatPr defaultRowHeight="15"/>
  <cols>
    <col min="1" max="1" width="8.85546875" style="346"/>
    <col min="2" max="2" width="36.140625" bestFit="1" customWidth="1"/>
    <col min="3" max="3" width="9.28515625" bestFit="1" customWidth="1"/>
    <col min="4" max="4" width="9" customWidth="1"/>
    <col min="5" max="5" width="9.7109375" bestFit="1" customWidth="1"/>
  </cols>
  <sheetData>
    <row r="3" spans="2:5">
      <c r="B3" s="345" t="s">
        <v>4</v>
      </c>
      <c r="C3" s="347" t="s">
        <v>5</v>
      </c>
      <c r="D3" s="347" t="s">
        <v>6</v>
      </c>
      <c r="E3" s="347" t="s">
        <v>7</v>
      </c>
    </row>
    <row r="4" spans="2:5">
      <c r="B4" s="24" t="s">
        <v>453</v>
      </c>
      <c r="C4" s="24">
        <v>118.53</v>
      </c>
      <c r="D4" s="24">
        <v>98.96</v>
      </c>
      <c r="E4" s="24">
        <f>C4-D4</f>
        <v>19.570000000000007</v>
      </c>
    </row>
    <row r="5" spans="2:5">
      <c r="B5" s="24" t="s">
        <v>442</v>
      </c>
      <c r="C5" s="24">
        <v>0.02</v>
      </c>
      <c r="D5" s="24">
        <v>-5.29</v>
      </c>
      <c r="E5" s="24">
        <f t="shared" ref="E5:E17" si="0">C5-D5</f>
        <v>5.31</v>
      </c>
    </row>
    <row r="6" spans="2:5">
      <c r="B6" s="24" t="s">
        <v>454</v>
      </c>
      <c r="C6" s="24">
        <v>7.03</v>
      </c>
      <c r="D6" s="24">
        <v>10.61</v>
      </c>
      <c r="E6" s="24">
        <f t="shared" si="0"/>
        <v>-3.5799999999999992</v>
      </c>
    </row>
    <row r="7" spans="2:5">
      <c r="B7" s="24" t="s">
        <v>444</v>
      </c>
      <c r="C7" s="24">
        <v>11.69</v>
      </c>
      <c r="D7" s="24">
        <v>-9.4600000000000009</v>
      </c>
      <c r="E7" s="24">
        <f t="shared" si="0"/>
        <v>21.15</v>
      </c>
    </row>
    <row r="8" spans="2:5">
      <c r="B8" s="24" t="s">
        <v>445</v>
      </c>
      <c r="C8" s="24">
        <v>9.6</v>
      </c>
      <c r="D8" s="24">
        <v>4.96</v>
      </c>
      <c r="E8" s="24">
        <f t="shared" si="0"/>
        <v>4.6399999999999997</v>
      </c>
    </row>
    <row r="9" spans="2:5">
      <c r="B9" s="24" t="s">
        <v>455</v>
      </c>
      <c r="C9" s="24">
        <v>0.3</v>
      </c>
      <c r="D9" s="24">
        <v>0.49</v>
      </c>
      <c r="E9" s="24">
        <f t="shared" si="0"/>
        <v>-0.19</v>
      </c>
    </row>
    <row r="10" spans="2:5">
      <c r="B10" s="24" t="s">
        <v>456</v>
      </c>
      <c r="C10" s="24">
        <v>0.41</v>
      </c>
      <c r="D10" s="24">
        <v>6.22</v>
      </c>
      <c r="E10" s="24">
        <f t="shared" si="0"/>
        <v>-5.81</v>
      </c>
    </row>
    <row r="11" spans="2:5">
      <c r="B11" s="24" t="s">
        <v>446</v>
      </c>
      <c r="C11" s="24">
        <v>0.51</v>
      </c>
      <c r="D11" s="24">
        <v>0.88</v>
      </c>
      <c r="E11" s="24">
        <f t="shared" si="0"/>
        <v>-0.37</v>
      </c>
    </row>
    <row r="12" spans="2:5">
      <c r="B12" s="24" t="s">
        <v>457</v>
      </c>
      <c r="C12" s="24">
        <v>5.29</v>
      </c>
      <c r="D12" s="24">
        <v>0.03</v>
      </c>
      <c r="E12" s="24">
        <f t="shared" si="0"/>
        <v>5.26</v>
      </c>
    </row>
    <row r="13" spans="2:5">
      <c r="B13" s="24" t="s">
        <v>458</v>
      </c>
      <c r="C13" s="24">
        <v>0.12</v>
      </c>
      <c r="D13" s="24">
        <v>0.24</v>
      </c>
      <c r="E13" s="24">
        <f t="shared" si="0"/>
        <v>-0.12</v>
      </c>
    </row>
    <row r="14" spans="2:5">
      <c r="B14" s="24" t="s">
        <v>448</v>
      </c>
      <c r="C14" s="24">
        <v>0.05</v>
      </c>
      <c r="D14" s="24">
        <v>0.5</v>
      </c>
      <c r="E14" s="24">
        <f t="shared" si="0"/>
        <v>-0.45</v>
      </c>
    </row>
    <row r="15" spans="2:5">
      <c r="B15" s="24" t="s">
        <v>449</v>
      </c>
      <c r="C15" s="24">
        <v>0</v>
      </c>
      <c r="D15" s="24">
        <v>25</v>
      </c>
      <c r="E15" s="24">
        <f t="shared" si="0"/>
        <v>-25</v>
      </c>
    </row>
    <row r="16" spans="2:5">
      <c r="B16" s="24" t="s">
        <v>451</v>
      </c>
      <c r="C16" s="24">
        <v>0</v>
      </c>
      <c r="D16" s="24">
        <v>8.77</v>
      </c>
      <c r="E16" s="24">
        <f t="shared" si="0"/>
        <v>-8.77</v>
      </c>
    </row>
    <row r="17" spans="2:5">
      <c r="B17" s="24" t="s">
        <v>459</v>
      </c>
      <c r="C17" s="24">
        <v>0</v>
      </c>
      <c r="D17" s="24">
        <v>428.53</v>
      </c>
      <c r="E17" s="24">
        <f t="shared" si="0"/>
        <v>-428.53</v>
      </c>
    </row>
    <row r="18" spans="2:5">
      <c r="B18" s="22" t="s">
        <v>23</v>
      </c>
      <c r="C18" s="22">
        <f>SUM(C4:C17)</f>
        <v>153.55000000000001</v>
      </c>
      <c r="D18" s="22">
        <f>SUM(D4:D17)</f>
        <v>570.43999999999994</v>
      </c>
      <c r="E18" s="22">
        <f>SUM(E4:E17)</f>
        <v>-416.89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5"/>
  <sheetViews>
    <sheetView topLeftCell="C37" workbookViewId="0">
      <selection activeCell="D57" sqref="D57:D63"/>
    </sheetView>
  </sheetViews>
  <sheetFormatPr defaultRowHeight="15"/>
  <cols>
    <col min="3" max="3" width="65.28515625" customWidth="1"/>
    <col min="4" max="4" width="13.5703125" customWidth="1"/>
    <col min="5" max="6" width="11.5703125" bestFit="1" customWidth="1"/>
    <col min="7" max="8" width="10.42578125" bestFit="1" customWidth="1"/>
  </cols>
  <sheetData>
    <row r="2" spans="3:6">
      <c r="E2" s="1"/>
    </row>
    <row r="3" spans="3:6">
      <c r="C3" s="371" t="s">
        <v>33</v>
      </c>
      <c r="D3" s="371"/>
      <c r="E3" s="1"/>
    </row>
    <row r="4" spans="3:6">
      <c r="C4" s="92" t="s">
        <v>19</v>
      </c>
      <c r="D4" s="432" t="s">
        <v>1</v>
      </c>
      <c r="E4" s="426" t="s">
        <v>2</v>
      </c>
      <c r="F4" s="426" t="s">
        <v>3</v>
      </c>
    </row>
    <row r="5" spans="3:6">
      <c r="C5" s="430" t="s">
        <v>34</v>
      </c>
      <c r="D5" s="4">
        <f t="shared" ref="D5:F6" si="0">D32</f>
        <v>22195.997087533</v>
      </c>
      <c r="E5" s="427">
        <f t="shared" si="0"/>
        <v>23948.520000000004</v>
      </c>
      <c r="F5" s="427">
        <f t="shared" si="0"/>
        <v>25936.169813754852</v>
      </c>
    </row>
    <row r="6" spans="3:6">
      <c r="C6" s="431" t="s">
        <v>35</v>
      </c>
      <c r="D6" s="5">
        <f t="shared" si="0"/>
        <v>7599.84</v>
      </c>
      <c r="E6" s="428">
        <f t="shared" si="0"/>
        <v>8820.66</v>
      </c>
      <c r="F6" s="428">
        <f t="shared" si="0"/>
        <v>9552.7462920211692</v>
      </c>
    </row>
    <row r="7" spans="3:6">
      <c r="C7" s="430" t="s">
        <v>36</v>
      </c>
      <c r="D7" s="4">
        <f>D5-D6</f>
        <v>14596.157087533</v>
      </c>
      <c r="E7" s="427">
        <f>E5-E6</f>
        <v>15127.860000000004</v>
      </c>
      <c r="F7" s="427">
        <f>F5-F6</f>
        <v>16383.423521733683</v>
      </c>
    </row>
    <row r="8" spans="3:6">
      <c r="C8" s="431" t="s">
        <v>37</v>
      </c>
      <c r="D8" s="5">
        <f>D35-D36</f>
        <v>7201.080385690997</v>
      </c>
      <c r="E8" s="428">
        <f>E35-E36</f>
        <v>7581.8745928253547</v>
      </c>
      <c r="F8" s="428">
        <f>F35-F36</f>
        <v>8154.7785044778493</v>
      </c>
    </row>
    <row r="9" spans="3:6">
      <c r="C9" s="430" t="s">
        <v>38</v>
      </c>
      <c r="D9" s="6">
        <f>D7-D8</f>
        <v>7395.0767018420029</v>
      </c>
      <c r="E9" s="429">
        <f>E7-E8</f>
        <v>7545.9854071746495</v>
      </c>
      <c r="F9" s="429">
        <f>F7-F8</f>
        <v>8228.6450172558325</v>
      </c>
    </row>
    <row r="10" spans="3:6">
      <c r="C10" s="430" t="s">
        <v>39</v>
      </c>
      <c r="D10" s="4">
        <f>D9*0.25</f>
        <v>1848.7691754605007</v>
      </c>
      <c r="E10" s="427">
        <f>E9*0.25</f>
        <v>1886.4963517936624</v>
      </c>
      <c r="F10" s="427">
        <f>F9*0.25</f>
        <v>2057.1612543139581</v>
      </c>
    </row>
    <row r="11" spans="3:6">
      <c r="C11" s="430" t="s">
        <v>40</v>
      </c>
      <c r="D11" s="4">
        <f>D10</f>
        <v>1848.7691754605007</v>
      </c>
      <c r="E11" s="427">
        <f>E10</f>
        <v>1886.4963517936624</v>
      </c>
      <c r="F11" s="427">
        <f>F10</f>
        <v>2057.1612543139581</v>
      </c>
    </row>
    <row r="12" spans="3:6">
      <c r="C12" s="7"/>
      <c r="D12" s="8"/>
      <c r="E12" s="1"/>
    </row>
    <row r="13" spans="3:6">
      <c r="C13" s="372" t="s">
        <v>41</v>
      </c>
      <c r="D13" s="373"/>
    </row>
    <row r="14" spans="3:6" ht="30">
      <c r="C14" s="9" t="s">
        <v>4</v>
      </c>
      <c r="D14" s="10" t="s">
        <v>42</v>
      </c>
      <c r="E14" s="433" t="s">
        <v>43</v>
      </c>
      <c r="F14" s="433" t="s">
        <v>44</v>
      </c>
    </row>
    <row r="15" spans="3:6">
      <c r="C15" s="11" t="s">
        <v>45</v>
      </c>
      <c r="D15" s="143">
        <f>D11</f>
        <v>1848.7691754605007</v>
      </c>
      <c r="E15" s="434">
        <f>D20</f>
        <v>1920.461071906635</v>
      </c>
      <c r="F15" s="434">
        <f ca="1">E20</f>
        <v>2192.1898724098</v>
      </c>
    </row>
    <row r="16" spans="3:6">
      <c r="C16" s="12" t="s">
        <v>46</v>
      </c>
      <c r="D16" s="147">
        <f>D59-(E33-D33)</f>
        <v>834.49000000000024</v>
      </c>
      <c r="E16" s="435">
        <f t="shared" ref="E16:F16" ca="1" si="1">E59-(F33-E33)</f>
        <v>1657.9137079788306</v>
      </c>
      <c r="F16" s="435">
        <f t="shared" si="1"/>
        <v>7209.3817479193185</v>
      </c>
    </row>
    <row r="17" spans="3:15">
      <c r="C17" s="13" t="s">
        <v>47</v>
      </c>
      <c r="D17" s="143">
        <f>D16*0.25</f>
        <v>208.62250000000006</v>
      </c>
      <c r="E17" s="434">
        <f ca="1">E16*0.25</f>
        <v>414.47842699470766</v>
      </c>
      <c r="F17" s="434">
        <f>F16*0.25</f>
        <v>1802.3454369798296</v>
      </c>
    </row>
    <row r="18" spans="3:15" ht="25.5">
      <c r="C18" s="12" t="s">
        <v>48</v>
      </c>
      <c r="D18" s="241">
        <f>E42*25%</f>
        <v>136.93060355386578</v>
      </c>
      <c r="E18" s="435">
        <f t="shared" ref="E18:F18" si="2">F42*25%</f>
        <v>142.74962649154264</v>
      </c>
      <c r="F18" s="435">
        <f t="shared" si="2"/>
        <v>163.31348222484755</v>
      </c>
    </row>
    <row r="19" spans="3:15" ht="28.5">
      <c r="C19" s="14" t="s">
        <v>49</v>
      </c>
      <c r="D19" s="147"/>
      <c r="E19" s="435"/>
      <c r="F19" s="435"/>
    </row>
    <row r="20" spans="3:15">
      <c r="C20" s="13" t="s">
        <v>50</v>
      </c>
      <c r="D20" s="143">
        <f>D15+D17-D18</f>
        <v>1920.461071906635</v>
      </c>
      <c r="E20" s="434">
        <f t="shared" ref="E20" ca="1" si="3">E15+E17-E18</f>
        <v>2192.1898724098</v>
      </c>
      <c r="F20" s="434">
        <f ca="1">F15+F17-F18</f>
        <v>3831.2218271647821</v>
      </c>
    </row>
    <row r="21" spans="3:15">
      <c r="C21" s="16" t="s">
        <v>51</v>
      </c>
      <c r="D21" s="17"/>
      <c r="E21" s="436"/>
      <c r="F21" s="436"/>
    </row>
    <row r="22" spans="3:15">
      <c r="C22" s="13" t="s">
        <v>52</v>
      </c>
      <c r="D22" s="18">
        <v>0.16</v>
      </c>
      <c r="E22" s="437">
        <v>0.16</v>
      </c>
      <c r="F22" s="437">
        <v>0.16</v>
      </c>
    </row>
    <row r="23" spans="3:15">
      <c r="C23" s="13" t="s">
        <v>53</v>
      </c>
      <c r="D23" s="18">
        <v>0</v>
      </c>
      <c r="E23" s="437">
        <v>0</v>
      </c>
      <c r="F23" s="437">
        <v>0</v>
      </c>
    </row>
    <row r="24" spans="3:15">
      <c r="C24" s="13" t="s">
        <v>54</v>
      </c>
      <c r="D24" s="19">
        <f>D22/(1-D23)</f>
        <v>0.16</v>
      </c>
      <c r="E24" s="438">
        <f t="shared" ref="E24:F24" si="4">E22/(1-E23)</f>
        <v>0.16</v>
      </c>
      <c r="F24" s="438">
        <f t="shared" si="4"/>
        <v>0.16</v>
      </c>
    </row>
    <row r="25" spans="3:15">
      <c r="C25" s="16" t="s">
        <v>55</v>
      </c>
      <c r="D25" s="17"/>
      <c r="E25" s="436"/>
      <c r="F25" s="436"/>
    </row>
    <row r="26" spans="3:15">
      <c r="C26" s="13" t="s">
        <v>56</v>
      </c>
      <c r="D26" s="5">
        <f>D15*D24</f>
        <v>295.80306807368009</v>
      </c>
      <c r="E26" s="424">
        <f t="shared" ref="E26:F26" si="5">E15*E24</f>
        <v>307.27377150506157</v>
      </c>
      <c r="F26" s="424">
        <f t="shared" ca="1" si="5"/>
        <v>350.750379585568</v>
      </c>
    </row>
    <row r="27" spans="3:15">
      <c r="C27" s="13" t="s">
        <v>57</v>
      </c>
      <c r="D27" s="5">
        <f>(D17-D18)*D24/2</f>
        <v>5.7353517156907428</v>
      </c>
      <c r="E27" s="424">
        <f t="shared" ref="E27:F27" ca="1" si="6">(E17-E18)*E24/2</f>
        <v>21.738304040253201</v>
      </c>
      <c r="F27" s="424">
        <f t="shared" si="6"/>
        <v>131.12255638039858</v>
      </c>
    </row>
    <row r="28" spans="3:15">
      <c r="C28" s="20" t="s">
        <v>58</v>
      </c>
      <c r="D28" s="6">
        <f>D26+D27</f>
        <v>301.53841978937083</v>
      </c>
      <c r="E28" s="425">
        <f t="shared" ref="E28:F28" ca="1" si="7">E26+E27</f>
        <v>329.01207554531476</v>
      </c>
      <c r="F28" s="425">
        <f t="shared" ca="1" si="7"/>
        <v>481.87293596596658</v>
      </c>
    </row>
    <row r="30" spans="3:15">
      <c r="C30" s="21" t="s">
        <v>59</v>
      </c>
      <c r="D30" s="21" t="s">
        <v>60</v>
      </c>
      <c r="E30" s="26"/>
    </row>
    <row r="31" spans="3:15">
      <c r="C31" s="22" t="s">
        <v>4</v>
      </c>
      <c r="D31" s="9" t="s">
        <v>61</v>
      </c>
      <c r="E31" s="449" t="s">
        <v>1</v>
      </c>
      <c r="F31" s="443" t="s">
        <v>2</v>
      </c>
      <c r="G31" s="443" t="s">
        <v>3</v>
      </c>
      <c r="H31" s="450"/>
      <c r="I31" s="450"/>
      <c r="J31" s="450"/>
      <c r="K31" s="450"/>
      <c r="L31" s="450"/>
      <c r="M31" s="450"/>
      <c r="N31" s="450"/>
      <c r="O31" s="450"/>
    </row>
    <row r="32" spans="3:15">
      <c r="C32" s="24" t="s">
        <v>62</v>
      </c>
      <c r="D32" s="25">
        <f>'[13]2024-25 Voltage wise (Rs. Cr.)'!$F$35</f>
        <v>22195.997087533</v>
      </c>
      <c r="E32" s="439">
        <f>'[14]Note 11 Fixed Assests '!$I$18+'[14]Note 11 Fixed Assests '!$I$21</f>
        <v>23948.520000000004</v>
      </c>
      <c r="F32" s="444">
        <f>'[13]2025-26 Voltage wise (Rs. Cr.)'!$J$35</f>
        <v>25936.169813754852</v>
      </c>
      <c r="G32" s="445">
        <f>'[13]2026-27 Voltage wise (Rs. C (2)'!$J$35</f>
        <v>31865.591634327957</v>
      </c>
      <c r="H32" s="451">
        <f>F32-E32</f>
        <v>1987.6498137548479</v>
      </c>
      <c r="I32" s="451">
        <f>G32-F32</f>
        <v>5929.4218205731049</v>
      </c>
      <c r="J32" s="452"/>
      <c r="K32" s="452"/>
      <c r="L32" s="452"/>
      <c r="M32" s="452"/>
      <c r="N32" s="452"/>
      <c r="O32" s="452"/>
    </row>
    <row r="33" spans="1:15">
      <c r="C33" s="24" t="s">
        <v>63</v>
      </c>
      <c r="D33" s="25">
        <v>7599.84</v>
      </c>
      <c r="E33" s="440">
        <f>D33+1220.82</f>
        <v>8820.66</v>
      </c>
      <c r="F33" s="446">
        <f t="shared" ref="F33" si="8">F32*$M$33</f>
        <v>9552.7462920211692</v>
      </c>
      <c r="G33" s="446">
        <f>[15]RoE!$H$23</f>
        <v>10503.416292021167</v>
      </c>
      <c r="H33" s="451">
        <f>E33-D33</f>
        <v>1220.8199999999997</v>
      </c>
      <c r="I33" s="453" t="s">
        <v>64</v>
      </c>
      <c r="J33" s="453"/>
      <c r="K33" s="453"/>
      <c r="L33" s="452"/>
      <c r="M33" s="452">
        <f>E33/E32</f>
        <v>0.36831754112571458</v>
      </c>
      <c r="N33" s="452"/>
      <c r="O33" s="452"/>
    </row>
    <row r="34" spans="1:15">
      <c r="C34" s="3" t="s">
        <v>65</v>
      </c>
      <c r="D34" s="33">
        <f>D32-D33</f>
        <v>14596.157087533</v>
      </c>
      <c r="E34" s="441">
        <f>E32-E33</f>
        <v>15127.860000000004</v>
      </c>
      <c r="F34" s="447">
        <f t="shared" ref="F34:G34" si="9">F32-F33</f>
        <v>16383.423521733683</v>
      </c>
      <c r="G34" s="447">
        <f t="shared" si="9"/>
        <v>21362.175342306789</v>
      </c>
      <c r="H34" s="451"/>
      <c r="I34" s="453" t="s">
        <v>66</v>
      </c>
      <c r="J34" s="453" t="s">
        <v>67</v>
      </c>
      <c r="K34" s="453" t="s">
        <v>68</v>
      </c>
      <c r="L34" s="452"/>
      <c r="M34" s="452"/>
      <c r="N34" s="452"/>
      <c r="O34" s="452"/>
    </row>
    <row r="35" spans="1:15">
      <c r="C35" s="24" t="s">
        <v>69</v>
      </c>
      <c r="D35" s="25">
        <f>'[13]2024-25 Voltage wise (Rs. Cr.)'!$K$35</f>
        <v>11252.690385690998</v>
      </c>
      <c r="E35" s="439">
        <f>[16]RoE!$E$35</f>
        <v>12062.014592825355</v>
      </c>
      <c r="F35" s="445">
        <f>'[13]2025-26 Voltage wise (Rs. Cr.)'!$O$35</f>
        <v>12973.448204399243</v>
      </c>
      <c r="G35" s="445">
        <f>'[13]2026-27 Voltage wise (Rs. C (2)'!$O$35</f>
        <v>14122.19462526707</v>
      </c>
      <c r="H35" s="452"/>
      <c r="I35" s="451">
        <f t="shared" ref="I35:K36" si="10">E35-D35</f>
        <v>809.32420713435749</v>
      </c>
      <c r="J35" s="451">
        <f t="shared" si="10"/>
        <v>911.4336115738879</v>
      </c>
      <c r="K35" s="451">
        <f t="shared" si="10"/>
        <v>1148.7464208678266</v>
      </c>
      <c r="L35" s="454">
        <f>K35*90%</f>
        <v>1033.871778781044</v>
      </c>
      <c r="M35" s="452"/>
      <c r="N35" s="452"/>
      <c r="O35" s="452"/>
    </row>
    <row r="36" spans="1:15">
      <c r="A36" t="s">
        <v>437</v>
      </c>
      <c r="B36">
        <v>4051.61</v>
      </c>
      <c r="C36" s="24" t="s">
        <v>70</v>
      </c>
      <c r="D36" s="25">
        <f>B36</f>
        <v>4051.61</v>
      </c>
      <c r="E36" s="440">
        <f>D36+428.53</f>
        <v>4480.1400000000003</v>
      </c>
      <c r="F36" s="446">
        <f t="shared" ref="F36" si="11">F35*$M$36</f>
        <v>4818.6696999213937</v>
      </c>
      <c r="G36" s="446">
        <f>[15]RoE!$H$26</f>
        <v>5202.6770331321959</v>
      </c>
      <c r="H36" s="451"/>
      <c r="I36" s="451">
        <f t="shared" si="10"/>
        <v>428.5300000000002</v>
      </c>
      <c r="J36" s="451">
        <f t="shared" si="10"/>
        <v>338.52969992139333</v>
      </c>
      <c r="K36" s="451">
        <f t="shared" si="10"/>
        <v>384.00733321080224</v>
      </c>
      <c r="L36" s="452"/>
      <c r="M36" s="452">
        <f>E36/E35</f>
        <v>0.37142551648584859</v>
      </c>
      <c r="N36" s="452"/>
      <c r="O36" s="452"/>
    </row>
    <row r="37" spans="1:15">
      <c r="C37" s="22" t="s">
        <v>71</v>
      </c>
      <c r="D37" s="33">
        <f>D35-D36</f>
        <v>7201.080385690997</v>
      </c>
      <c r="E37" s="441">
        <f>E35-E36</f>
        <v>7581.8745928253547</v>
      </c>
      <c r="F37" s="447">
        <f t="shared" ref="F37:G37" si="12">F35-F36</f>
        <v>8154.7785044778493</v>
      </c>
      <c r="G37" s="447">
        <f t="shared" si="12"/>
        <v>8919.5175921348746</v>
      </c>
      <c r="H37" s="452"/>
      <c r="I37" s="451">
        <f>I35-I36</f>
        <v>380.79420713435729</v>
      </c>
      <c r="J37" s="451">
        <f>J35-J36</f>
        <v>572.90391165249457</v>
      </c>
      <c r="K37" s="451">
        <f>K35-K36</f>
        <v>764.73908765702436</v>
      </c>
      <c r="L37" s="452"/>
      <c r="M37" s="452"/>
      <c r="N37" s="452"/>
      <c r="O37" s="452"/>
    </row>
    <row r="38" spans="1:15">
      <c r="C38" s="22" t="s">
        <v>38</v>
      </c>
      <c r="D38" s="33">
        <f>D34-D37</f>
        <v>7395.0767018420029</v>
      </c>
      <c r="E38" s="441">
        <f>E34-E37</f>
        <v>7545.9854071746495</v>
      </c>
      <c r="F38" s="447">
        <f t="shared" ref="F38:G38" si="13">F34-F37</f>
        <v>8228.6450172558325</v>
      </c>
      <c r="G38" s="447">
        <f t="shared" si="13"/>
        <v>12442.657750171915</v>
      </c>
      <c r="H38" s="452"/>
      <c r="I38" s="452"/>
      <c r="J38" s="452"/>
      <c r="K38" s="452"/>
      <c r="L38" s="452"/>
      <c r="M38" s="452"/>
      <c r="N38" s="452"/>
      <c r="O38" s="452"/>
    </row>
    <row r="39" spans="1:15">
      <c r="C39" s="24" t="s">
        <v>72</v>
      </c>
      <c r="D39" s="25">
        <f>D38*25%</f>
        <v>1848.7691754605007</v>
      </c>
      <c r="E39" s="439">
        <f>E38*25%</f>
        <v>1886.4963517936624</v>
      </c>
      <c r="F39" s="445">
        <f t="shared" ref="F39:G39" si="14">F38*25%</f>
        <v>2057.1612543139581</v>
      </c>
      <c r="G39" s="445">
        <f t="shared" si="14"/>
        <v>3110.6644375429787</v>
      </c>
      <c r="H39" s="452"/>
      <c r="I39" s="452"/>
      <c r="J39" s="452"/>
      <c r="K39" s="452"/>
      <c r="L39" s="452"/>
      <c r="M39" s="452"/>
      <c r="N39" s="452"/>
      <c r="O39" s="452"/>
    </row>
    <row r="40" spans="1:15">
      <c r="C40" s="86" t="s">
        <v>460</v>
      </c>
      <c r="D40" s="25">
        <f>E46</f>
        <v>540.61447539399865</v>
      </c>
      <c r="E40" s="439">
        <f>'[17]Fully Depreciated Assets'!$B$27</f>
        <v>562.0679828361632</v>
      </c>
      <c r="F40" s="445">
        <f>'[17]Fully Depreciated Assets'!$C$27</f>
        <v>590.81709766027063</v>
      </c>
      <c r="G40" s="445">
        <f>'[17]Fully Depreciated Assets'!$D$27</f>
        <v>675.96177716099021</v>
      </c>
      <c r="H40" s="452"/>
      <c r="I40" s="452"/>
      <c r="J40" s="452"/>
      <c r="K40" s="452"/>
      <c r="L40" s="452"/>
      <c r="M40" s="452"/>
      <c r="N40" s="452"/>
      <c r="O40" s="452"/>
    </row>
    <row r="41" spans="1:15">
      <c r="C41" s="86" t="s">
        <v>461</v>
      </c>
      <c r="D41" s="237">
        <f>'[18]EBV Statement'!$G$24</f>
        <v>20.769406539299958</v>
      </c>
      <c r="E41" s="442">
        <f>'[17]Fully Depreciated Assets (CC)'!B27</f>
        <v>14.345568620700035</v>
      </c>
      <c r="F41" s="448">
        <f>'[17]Fully Depreciated Assets (CC)'!C27</f>
        <v>19.818591694100036</v>
      </c>
      <c r="G41" s="448">
        <f>'[17]Fully Depreciated Assets (CC)'!D27</f>
        <v>22.707848261600052</v>
      </c>
      <c r="H41" s="450"/>
      <c r="I41" s="450"/>
      <c r="J41" s="450"/>
      <c r="K41" s="450"/>
      <c r="L41" s="450"/>
      <c r="M41" s="450"/>
      <c r="N41" s="450"/>
      <c r="O41" s="450"/>
    </row>
    <row r="42" spans="1:15" s="346" customFormat="1">
      <c r="C42" s="86" t="s">
        <v>462</v>
      </c>
      <c r="D42" s="90">
        <f>D40-D41</f>
        <v>519.84506885469864</v>
      </c>
      <c r="E42" s="440">
        <f t="shared" ref="E42:G42" si="15">E40-E41</f>
        <v>547.72241421546312</v>
      </c>
      <c r="F42" s="446">
        <f t="shared" si="15"/>
        <v>570.99850596617057</v>
      </c>
      <c r="G42" s="446">
        <f t="shared" si="15"/>
        <v>653.25392889939019</v>
      </c>
      <c r="H42" s="450"/>
      <c r="I42" s="450"/>
      <c r="J42" s="450"/>
      <c r="K42" s="450"/>
      <c r="L42" s="450"/>
      <c r="M42" s="450"/>
      <c r="N42" s="450"/>
      <c r="O42" s="450"/>
    </row>
    <row r="43" spans="1:15" s="346" customFormat="1">
      <c r="C43" s="88" t="s">
        <v>463</v>
      </c>
      <c r="D43" s="237">
        <f>D39-D41</f>
        <v>1827.9997689212007</v>
      </c>
      <c r="E43" s="459">
        <f t="shared" ref="E43:G43" si="16">E39-E41</f>
        <v>1872.1507831729623</v>
      </c>
      <c r="F43" s="448">
        <f t="shared" si="16"/>
        <v>2037.3426626198582</v>
      </c>
      <c r="G43" s="448">
        <f t="shared" si="16"/>
        <v>3087.9565892813785</v>
      </c>
      <c r="H43" s="450"/>
      <c r="I43" s="450"/>
      <c r="J43" s="450"/>
      <c r="K43" s="450"/>
      <c r="L43" s="450"/>
      <c r="M43" s="450"/>
      <c r="N43" s="450"/>
      <c r="O43" s="450"/>
    </row>
    <row r="44" spans="1:15">
      <c r="D44" s="348"/>
      <c r="E44" s="237"/>
      <c r="F44" s="237"/>
      <c r="G44" s="455"/>
      <c r="H44" s="450"/>
    </row>
    <row r="45" spans="1:15">
      <c r="C45" s="88" t="s">
        <v>73</v>
      </c>
      <c r="D45" s="85" t="s">
        <v>74</v>
      </c>
      <c r="E45" s="88" t="s">
        <v>61</v>
      </c>
      <c r="F45" s="88" t="s">
        <v>1</v>
      </c>
      <c r="G45" s="456" t="s">
        <v>2</v>
      </c>
      <c r="H45" s="456" t="s">
        <v>3</v>
      </c>
    </row>
    <row r="46" spans="1:15">
      <c r="C46" s="86" t="s">
        <v>75</v>
      </c>
      <c r="D46" s="87" t="s">
        <v>76</v>
      </c>
      <c r="E46" s="90">
        <f>'[19]Voltage wise FA from SAP'!$C$27</f>
        <v>540.61447539399865</v>
      </c>
      <c r="F46" s="90">
        <f>'[19]Voltage wise FA from SAP'!$D$27</f>
        <v>595.29796828899862</v>
      </c>
      <c r="G46" s="446">
        <f>'[19]Voltage wise FA from SAP'!$E$27</f>
        <v>636.32786436589856</v>
      </c>
      <c r="H46" s="446">
        <f>'[19]Voltage wise FA from SAP'!$F$27</f>
        <v>686.85783586499861</v>
      </c>
    </row>
    <row r="47" spans="1:15">
      <c r="C47" s="86" t="s">
        <v>77</v>
      </c>
      <c r="D47" s="87" t="s">
        <v>78</v>
      </c>
      <c r="E47" s="89">
        <v>0.1</v>
      </c>
      <c r="F47" s="91">
        <f>E47</f>
        <v>0.1</v>
      </c>
      <c r="G47" s="457">
        <f t="shared" ref="G47:H47" si="17">F47</f>
        <v>0.1</v>
      </c>
      <c r="H47" s="457">
        <f t="shared" si="17"/>
        <v>0.1</v>
      </c>
    </row>
    <row r="48" spans="1:15">
      <c r="C48" s="86" t="s">
        <v>79</v>
      </c>
      <c r="D48" s="87" t="s">
        <v>76</v>
      </c>
      <c r="E48" s="25">
        <f>E46/E47</f>
        <v>5406.144753939986</v>
      </c>
      <c r="F48" s="25">
        <f>F46/F47</f>
        <v>5952.9796828899862</v>
      </c>
      <c r="G48" s="445">
        <f t="shared" ref="G48:H48" si="18">G46/G47</f>
        <v>6363.2786436589849</v>
      </c>
      <c r="H48" s="445">
        <f t="shared" si="18"/>
        <v>6868.5783586499856</v>
      </c>
    </row>
    <row r="49" spans="3:8">
      <c r="C49" s="86" t="s">
        <v>80</v>
      </c>
      <c r="D49" s="87" t="s">
        <v>78</v>
      </c>
      <c r="E49" s="89">
        <f>D33/D32</f>
        <v>0.34239687318524031</v>
      </c>
      <c r="F49" s="89">
        <f>E33/E32</f>
        <v>0.36831754112571458</v>
      </c>
      <c r="G49" s="458">
        <f t="shared" ref="G49:H49" si="19">F33/F32</f>
        <v>0.36831754112571458</v>
      </c>
      <c r="H49" s="458">
        <f t="shared" si="19"/>
        <v>0.32961623347693053</v>
      </c>
    </row>
    <row r="50" spans="3:8">
      <c r="C50" s="86" t="s">
        <v>81</v>
      </c>
      <c r="D50" s="87" t="s">
        <v>76</v>
      </c>
      <c r="E50" s="25">
        <f>E48*E49</f>
        <v>1851.0470597358417</v>
      </c>
      <c r="F50" s="25">
        <f>F48*F49</f>
        <v>2192.5868391733757</v>
      </c>
      <c r="G50" s="445">
        <f t="shared" ref="G50:H50" si="20">G48*G49</f>
        <v>2343.7071435302496</v>
      </c>
      <c r="H50" s="445">
        <f t="shared" si="20"/>
        <v>2263.9949279193661</v>
      </c>
    </row>
    <row r="51" spans="3:8">
      <c r="C51" s="86" t="s">
        <v>82</v>
      </c>
      <c r="D51" s="87" t="s">
        <v>76</v>
      </c>
      <c r="E51" s="25">
        <f>E48-E50</f>
        <v>3555.0976942041443</v>
      </c>
      <c r="F51" s="25">
        <f>F48-F50</f>
        <v>3760.3928437166105</v>
      </c>
      <c r="G51" s="445">
        <f t="shared" ref="G51:H51" si="21">G48-G50</f>
        <v>4019.5715001287354</v>
      </c>
      <c r="H51" s="445">
        <f t="shared" si="21"/>
        <v>4604.5834307306195</v>
      </c>
    </row>
    <row r="52" spans="3:8">
      <c r="C52" s="86" t="s">
        <v>83</v>
      </c>
      <c r="D52" s="87" t="s">
        <v>76</v>
      </c>
      <c r="E52" s="25">
        <f>E51*E47</f>
        <v>355.50976942041444</v>
      </c>
      <c r="F52" s="25">
        <f>F51*F47</f>
        <v>376.0392843716611</v>
      </c>
      <c r="G52" s="445">
        <f t="shared" ref="G52:H52" si="22">G51*G47</f>
        <v>401.95715001287357</v>
      </c>
      <c r="H52" s="445">
        <f t="shared" si="22"/>
        <v>460.458343073062</v>
      </c>
    </row>
    <row r="54" spans="3:8">
      <c r="F54" s="423">
        <f>596.307</f>
        <v>596.30700000000002</v>
      </c>
      <c r="G54" s="423"/>
    </row>
    <row r="55" spans="3:8">
      <c r="F55" s="423">
        <f>F54-14.35</f>
        <v>581.95699999999999</v>
      </c>
      <c r="G55" s="423">
        <f>F54-F55</f>
        <v>14.350000000000023</v>
      </c>
    </row>
    <row r="57" spans="3:8" ht="15.75">
      <c r="C57" s="27" t="s">
        <v>4</v>
      </c>
      <c r="D57" s="28" t="s">
        <v>84</v>
      </c>
    </row>
    <row r="58" spans="3:8">
      <c r="C58" s="27" t="s">
        <v>4</v>
      </c>
      <c r="D58" s="27" t="s">
        <v>1</v>
      </c>
      <c r="E58" s="462" t="s">
        <v>2</v>
      </c>
      <c r="F58" s="462" t="s">
        <v>3</v>
      </c>
    </row>
    <row r="59" spans="3:8">
      <c r="C59" s="27" t="s">
        <v>85</v>
      </c>
      <c r="D59" s="6">
        <f t="shared" ref="D59" si="23">SUM(D60:D62)</f>
        <v>2055.31</v>
      </c>
      <c r="E59" s="429">
        <f t="shared" ref="E59" ca="1" si="24">SUM(E60:E62)</f>
        <v>2390</v>
      </c>
      <c r="F59" s="429">
        <f t="shared" ref="F59" si="25">SUM(F60:F62)</f>
        <v>8160.0517479193168</v>
      </c>
      <c r="H59" s="460">
        <f t="shared" ref="H59:H61" si="26">D59/$D$59</f>
        <v>1</v>
      </c>
    </row>
    <row r="60" spans="3:8">
      <c r="C60" s="29" t="s">
        <v>86</v>
      </c>
      <c r="D60" s="5">
        <v>1905.21</v>
      </c>
      <c r="E60" s="428">
        <f ca="1">E59*H60</f>
        <v>2215.4574735684641</v>
      </c>
      <c r="F60" s="428">
        <f>[20]RoE!G39</f>
        <v>7508.181524530004</v>
      </c>
      <c r="H60" s="460">
        <f t="shared" si="26"/>
        <v>0.92696965421274657</v>
      </c>
    </row>
    <row r="61" spans="3:8">
      <c r="C61" s="29" t="s">
        <v>87</v>
      </c>
      <c r="D61" s="5">
        <v>136.77000000000001</v>
      </c>
      <c r="E61" s="428">
        <f ca="1">E59*H61</f>
        <v>159.04184770180657</v>
      </c>
      <c r="F61" s="428">
        <f>[20]RoE!G40</f>
        <v>565.87736214019083</v>
      </c>
      <c r="H61" s="460">
        <f t="shared" si="26"/>
        <v>6.6544706151383498E-2</v>
      </c>
    </row>
    <row r="62" spans="3:8">
      <c r="C62" s="29" t="s">
        <v>88</v>
      </c>
      <c r="D62" s="5">
        <v>13.33</v>
      </c>
      <c r="E62" s="428">
        <f ca="1">E59*H62</f>
        <v>15.500678729729335</v>
      </c>
      <c r="F62" s="428">
        <f>[20]RoE!G41</f>
        <v>85.992861249122413</v>
      </c>
      <c r="H62" s="460">
        <f>D62/$D$59</f>
        <v>6.4856396358700151E-3</v>
      </c>
    </row>
    <row r="63" spans="3:8">
      <c r="C63" s="27" t="s">
        <v>89</v>
      </c>
      <c r="D63" s="6">
        <v>1752</v>
      </c>
      <c r="E63" s="429">
        <f>'[13]2025-26 Voltage wise (Rs. Cr.)'!$G$35-'[13]2025-26 Voltage wise (Rs. Cr.)'!$H$35</f>
        <v>1988.0813898908491</v>
      </c>
      <c r="F63" s="429">
        <f>[21]RoE!$G$42</f>
        <v>4978.9705826039199</v>
      </c>
      <c r="H63" s="460">
        <f>D63/D59</f>
        <v>0.85242615469199301</v>
      </c>
    </row>
    <row r="64" spans="3:8">
      <c r="H64" s="423"/>
    </row>
    <row r="65" spans="4:6">
      <c r="D65" s="311"/>
      <c r="E65" s="311"/>
      <c r="F65" s="311"/>
    </row>
  </sheetData>
  <mergeCells count="2">
    <mergeCell ref="C3:D3"/>
    <mergeCell ref="C13:D13"/>
  </mergeCells>
  <phoneticPr fontId="17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34"/>
  <sheetViews>
    <sheetView topLeftCell="A13" zoomScale="98" workbookViewId="0">
      <selection activeCell="O40" sqref="O40"/>
    </sheetView>
  </sheetViews>
  <sheetFormatPr defaultRowHeight="15"/>
  <cols>
    <col min="3" max="3" width="63.42578125" customWidth="1"/>
    <col min="4" max="5" width="12.28515625" customWidth="1"/>
    <col min="6" max="6" width="9.7109375" bestFit="1" customWidth="1"/>
    <col min="9" max="9" width="11.5703125" bestFit="1" customWidth="1"/>
    <col min="10" max="12" width="0" hidden="1" customWidth="1"/>
  </cols>
  <sheetData>
    <row r="2" spans="3:6">
      <c r="C2" s="1"/>
      <c r="D2" s="1"/>
      <c r="E2" s="1"/>
      <c r="F2" s="1"/>
    </row>
    <row r="3" spans="3:6">
      <c r="C3" s="371" t="s">
        <v>90</v>
      </c>
      <c r="D3" s="371"/>
      <c r="E3" s="1"/>
      <c r="F3" s="1"/>
    </row>
    <row r="4" spans="3:6">
      <c r="C4" s="2"/>
      <c r="D4" s="9" t="s">
        <v>1</v>
      </c>
      <c r="E4" s="443" t="s">
        <v>2</v>
      </c>
      <c r="F4" s="443" t="s">
        <v>3</v>
      </c>
    </row>
    <row r="5" spans="3:6">
      <c r="C5" s="430" t="s">
        <v>34</v>
      </c>
      <c r="D5" s="359">
        <f>RoE!D32</f>
        <v>22195.997087533</v>
      </c>
      <c r="E5" s="427">
        <f>RoE!E5</f>
        <v>23948.520000000004</v>
      </c>
      <c r="F5" s="427">
        <f>RoE!F5</f>
        <v>25936.169813754852</v>
      </c>
    </row>
    <row r="6" spans="3:6">
      <c r="C6" s="431" t="s">
        <v>35</v>
      </c>
      <c r="D6" s="357">
        <f>RoE!D6</f>
        <v>7599.84</v>
      </c>
      <c r="E6" s="428">
        <f>RoE!E6</f>
        <v>8820.66</v>
      </c>
      <c r="F6" s="428">
        <f>RoE!F6</f>
        <v>9552.7462920211692</v>
      </c>
    </row>
    <row r="7" spans="3:6">
      <c r="C7" s="431" t="s">
        <v>36</v>
      </c>
      <c r="D7" s="360">
        <f>D5-D6</f>
        <v>14596.157087533</v>
      </c>
      <c r="E7" s="463">
        <f t="shared" ref="E7:F7" si="0">E5-E6</f>
        <v>15127.860000000004</v>
      </c>
      <c r="F7" s="463">
        <f t="shared" si="0"/>
        <v>16383.423521733683</v>
      </c>
    </row>
    <row r="8" spans="3:6">
      <c r="C8" s="431" t="s">
        <v>91</v>
      </c>
      <c r="D8" s="357">
        <f>D7*0.75</f>
        <v>10947.11781564975</v>
      </c>
      <c r="E8" s="428">
        <f t="shared" ref="E8:F8" si="1">E7*0.75</f>
        <v>11345.895000000004</v>
      </c>
      <c r="F8" s="428">
        <f t="shared" si="1"/>
        <v>12287.567641300262</v>
      </c>
    </row>
    <row r="9" spans="3:6">
      <c r="C9" s="431" t="s">
        <v>92</v>
      </c>
      <c r="D9" s="357">
        <f>RoE!D37</f>
        <v>7201.080385690997</v>
      </c>
      <c r="E9" s="428">
        <f>RoE!E37</f>
        <v>7581.8745928253547</v>
      </c>
      <c r="F9" s="428">
        <f>RoE!F37</f>
        <v>8154.7785044778493</v>
      </c>
    </row>
    <row r="10" spans="3:6">
      <c r="C10" s="431" t="s">
        <v>93</v>
      </c>
      <c r="D10" s="357">
        <f>D9*0.75</f>
        <v>5400.8102892682473</v>
      </c>
      <c r="E10" s="428">
        <f t="shared" ref="E10:F10" si="2">E9*0.75</f>
        <v>5686.4059446190158</v>
      </c>
      <c r="F10" s="428">
        <f t="shared" si="2"/>
        <v>6116.0838783583868</v>
      </c>
    </row>
    <row r="11" spans="3:6">
      <c r="C11" s="430" t="s">
        <v>94</v>
      </c>
      <c r="D11" s="359">
        <f>D8-D10</f>
        <v>5546.3075263815026</v>
      </c>
      <c r="E11" s="427">
        <f t="shared" ref="E11:F11" si="3">E8-E10</f>
        <v>5659.4890553809882</v>
      </c>
      <c r="F11" s="427">
        <f t="shared" si="3"/>
        <v>6171.4837629418753</v>
      </c>
    </row>
    <row r="12" spans="3:6">
      <c r="F12" s="1"/>
    </row>
    <row r="13" spans="3:6">
      <c r="C13" s="371" t="s">
        <v>95</v>
      </c>
      <c r="D13" s="371"/>
      <c r="F13" s="30"/>
    </row>
    <row r="14" spans="3:6">
      <c r="C14" s="31"/>
      <c r="D14" s="31"/>
      <c r="F14" s="30"/>
    </row>
    <row r="15" spans="3:6">
      <c r="C15" s="9" t="s">
        <v>4</v>
      </c>
      <c r="D15" s="9" t="s">
        <v>1</v>
      </c>
      <c r="E15" s="443" t="s">
        <v>2</v>
      </c>
      <c r="F15" s="443" t="s">
        <v>3</v>
      </c>
    </row>
    <row r="16" spans="3:6">
      <c r="C16" s="11" t="s">
        <v>96</v>
      </c>
      <c r="D16" s="357">
        <f>D11</f>
        <v>5546.3075263815026</v>
      </c>
      <c r="E16" s="428">
        <f>D21</f>
        <v>5574.6913453634697</v>
      </c>
      <c r="F16" s="428">
        <f ca="1">E21</f>
        <v>6325.4838089920286</v>
      </c>
    </row>
    <row r="17" spans="3:6" ht="25.5">
      <c r="C17" s="12" t="s">
        <v>97</v>
      </c>
      <c r="D17" s="358">
        <f>RoE!D16</f>
        <v>834.49000000000024</v>
      </c>
      <c r="E17" s="464">
        <f ca="1">RoE!E16</f>
        <v>1657.9137079788306</v>
      </c>
      <c r="F17" s="464">
        <f>RoE!F16</f>
        <v>7209.3817479193185</v>
      </c>
    </row>
    <row r="18" spans="3:6" ht="29.25">
      <c r="C18" s="14" t="s">
        <v>98</v>
      </c>
      <c r="D18" s="358">
        <f>RoE!I35</f>
        <v>809.32420713435749</v>
      </c>
      <c r="E18" s="464">
        <f>RoE!J35</f>
        <v>911.4336115738879</v>
      </c>
      <c r="F18" s="464">
        <f>RoE!K35</f>
        <v>1148.7464208678266</v>
      </c>
    </row>
    <row r="19" spans="3:6" ht="25.5">
      <c r="C19" s="12" t="s">
        <v>464</v>
      </c>
      <c r="D19" s="358">
        <f>(RoE!E40-RoE!D40)*15%</f>
        <v>3.2180261163246824</v>
      </c>
      <c r="E19" s="465">
        <f>(RoE!F40-RoE!E40)*15%</f>
        <v>4.312367223616115</v>
      </c>
      <c r="F19" s="465">
        <f>(RoE!G40-RoE!F40)*15%</f>
        <v>12.771701925107935</v>
      </c>
    </row>
    <row r="20" spans="3:6" ht="28.5">
      <c r="C20" s="14" t="s">
        <v>99</v>
      </c>
      <c r="D20" s="15">
        <v>0</v>
      </c>
      <c r="E20" s="466">
        <v>0</v>
      </c>
      <c r="F20" s="466">
        <v>0</v>
      </c>
    </row>
    <row r="21" spans="3:6">
      <c r="C21" s="13" t="s">
        <v>100</v>
      </c>
      <c r="D21" s="5">
        <f>D16+D17-D18+D19-D20</f>
        <v>5574.6913453634697</v>
      </c>
      <c r="E21" s="428">
        <f t="shared" ref="E21:F21" ca="1" si="4">E16+E17-E18+E19-E20</f>
        <v>6325.4838089920286</v>
      </c>
      <c r="F21" s="428">
        <f t="shared" ca="1" si="4"/>
        <v>12398.890837968629</v>
      </c>
    </row>
    <row r="22" spans="3:6">
      <c r="C22" s="13" t="s">
        <v>101</v>
      </c>
      <c r="D22" s="5">
        <f>(D16+D21)/2</f>
        <v>5560.4994358724862</v>
      </c>
      <c r="E22" s="428">
        <f t="shared" ref="E22:F22" ca="1" si="5">(E16+E21)/2</f>
        <v>5950.0875771777492</v>
      </c>
      <c r="F22" s="428">
        <f t="shared" ca="1" si="5"/>
        <v>9362.1873234803279</v>
      </c>
    </row>
    <row r="23" spans="3:6">
      <c r="C23" s="13" t="s">
        <v>102</v>
      </c>
      <c r="D23" s="93">
        <f>D33</f>
        <v>9.6013563761593368E-2</v>
      </c>
      <c r="E23" s="467">
        <f t="shared" ref="E23:F23" si="6">E33</f>
        <v>0.10956274353176218</v>
      </c>
      <c r="F23" s="467">
        <f t="shared" si="6"/>
        <v>9.9735232745641694E-2</v>
      </c>
    </row>
    <row r="24" spans="3:6">
      <c r="C24" s="32" t="s">
        <v>103</v>
      </c>
      <c r="D24" s="356">
        <f>D22*D23</f>
        <v>533.88336713244689</v>
      </c>
      <c r="E24" s="429">
        <f t="shared" ref="E24:F24" ca="1" si="7">E22*E23</f>
        <v>651.90791920984998</v>
      </c>
      <c r="F24" s="429">
        <f t="shared" ca="1" si="7"/>
        <v>933.73993171560676</v>
      </c>
    </row>
    <row r="27" spans="3:6">
      <c r="C27" s="30" t="s">
        <v>104</v>
      </c>
    </row>
    <row r="28" spans="3:6">
      <c r="C28" s="30"/>
      <c r="D28" s="9" t="s">
        <v>1</v>
      </c>
      <c r="E28" s="443" t="s">
        <v>2</v>
      </c>
      <c r="F28" s="443" t="s">
        <v>3</v>
      </c>
    </row>
    <row r="29" spans="3:6">
      <c r="C29" s="469" t="s">
        <v>105</v>
      </c>
      <c r="D29" s="25">
        <f>'[12]Loan Portfolio'!$G$16</f>
        <v>16374.216734999996</v>
      </c>
      <c r="E29" s="445">
        <f>D30</f>
        <v>21438.6698798</v>
      </c>
      <c r="F29" s="445">
        <f>E30</f>
        <v>30961.715642999996</v>
      </c>
    </row>
    <row r="30" spans="3:6">
      <c r="C30" s="469" t="s">
        <v>106</v>
      </c>
      <c r="D30" s="25">
        <f>'[12]Loan Portfolio'!$K$16</f>
        <v>21438.6698798</v>
      </c>
      <c r="E30" s="445">
        <f>'[12]Loan Portfolio'!$O$16</f>
        <v>30961.715642999996</v>
      </c>
      <c r="F30" s="445">
        <f>'[12]Loan Portfolio'!$R$16</f>
        <v>25793.252928999998</v>
      </c>
    </row>
    <row r="31" spans="3:6">
      <c r="C31" s="461" t="s">
        <v>107</v>
      </c>
      <c r="D31" s="33">
        <f>AVERAGE(D29:D30)</f>
        <v>18906.443307399997</v>
      </c>
      <c r="E31" s="447">
        <f>AVERAGE(E29:E30)</f>
        <v>26200.192761399998</v>
      </c>
      <c r="F31" s="447">
        <f>AVERAGE(F29:F30)</f>
        <v>28377.484285999999</v>
      </c>
    </row>
    <row r="32" spans="3:6">
      <c r="C32" s="469" t="s">
        <v>108</v>
      </c>
      <c r="D32" s="25">
        <f>'[12]Loan Portfolio'!$J$16</f>
        <v>1815.2749999999999</v>
      </c>
      <c r="E32" s="445">
        <f>'[12]Loan Portfolio'!$N$16</f>
        <v>2870.5650000000001</v>
      </c>
      <c r="F32" s="445">
        <f>'[12]Loan Portfolio'!$Q$16</f>
        <v>2830.2349999999997</v>
      </c>
    </row>
    <row r="33" spans="3:6">
      <c r="C33" s="461" t="s">
        <v>109</v>
      </c>
      <c r="D33" s="34">
        <f>D32/D31</f>
        <v>9.6013563761593368E-2</v>
      </c>
      <c r="E33" s="468">
        <f t="shared" ref="E33:F33" si="8">E32/E31</f>
        <v>0.10956274353176218</v>
      </c>
      <c r="F33" s="468">
        <f t="shared" si="8"/>
        <v>9.9735232745641694E-2</v>
      </c>
    </row>
    <row r="34" spans="3:6">
      <c r="C34" s="21"/>
      <c r="D34" s="35"/>
    </row>
  </sheetData>
  <mergeCells count="2">
    <mergeCell ref="C3:D3"/>
    <mergeCell ref="C13:D1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60"/>
  <sheetViews>
    <sheetView topLeftCell="A19" workbookViewId="0">
      <selection activeCell="D16" sqref="D16"/>
    </sheetView>
  </sheetViews>
  <sheetFormatPr defaultRowHeight="15"/>
  <cols>
    <col min="3" max="3" width="31.5703125" customWidth="1"/>
    <col min="5" max="5" width="21.28515625" bestFit="1" customWidth="1"/>
  </cols>
  <sheetData>
    <row r="2" spans="2:6">
      <c r="C2" s="36" t="s">
        <v>110</v>
      </c>
    </row>
    <row r="3" spans="2:6">
      <c r="C3" s="37" t="s">
        <v>4</v>
      </c>
      <c r="D3" s="38" t="s">
        <v>111</v>
      </c>
      <c r="E3" s="470" t="s">
        <v>112</v>
      </c>
      <c r="F3" s="470" t="s">
        <v>113</v>
      </c>
    </row>
    <row r="4" spans="2:6">
      <c r="B4" s="39"/>
      <c r="C4" s="40" t="s">
        <v>114</v>
      </c>
      <c r="D4" s="41">
        <f>('O&amp;M Expenses'!D7)/12</f>
        <v>335.45249999999999</v>
      </c>
      <c r="E4" s="471">
        <f>Summary!G5/12</f>
        <v>361.08610445266669</v>
      </c>
      <c r="F4" s="471">
        <f>Summary!J5/12</f>
        <v>382.47246946523131</v>
      </c>
    </row>
    <row r="5" spans="2:6">
      <c r="C5" s="40" t="s">
        <v>115</v>
      </c>
      <c r="D5" s="41">
        <f>RoE!D32*0.01</f>
        <v>221.95997087533001</v>
      </c>
      <c r="E5" s="471">
        <f>RoE!E32*0.01</f>
        <v>239.48520000000005</v>
      </c>
      <c r="F5" s="471">
        <f>RoE!F32*0.01</f>
        <v>259.3616981375485</v>
      </c>
    </row>
    <row r="6" spans="2:6">
      <c r="C6" s="40" t="s">
        <v>116</v>
      </c>
      <c r="D6" s="41">
        <f ca="1">D12*45/365</f>
        <v>645.40252212175108</v>
      </c>
      <c r="E6" s="445">
        <f t="shared" ref="E6:F6" ca="1" si="0">E12*45/365</f>
        <v>724.52981397682379</v>
      </c>
      <c r="F6" s="445">
        <f t="shared" ca="1" si="0"/>
        <v>834.9620595040883</v>
      </c>
    </row>
    <row r="7" spans="2:6">
      <c r="C7" s="37" t="s">
        <v>117</v>
      </c>
      <c r="D7" s="240"/>
      <c r="E7" s="452"/>
      <c r="F7" s="452"/>
    </row>
    <row r="8" spans="2:6">
      <c r="C8" s="40" t="s">
        <v>118</v>
      </c>
      <c r="D8" s="239">
        <v>0</v>
      </c>
      <c r="E8" s="472">
        <v>0</v>
      </c>
      <c r="F8" s="472">
        <v>0</v>
      </c>
    </row>
    <row r="9" spans="2:6">
      <c r="B9" s="26"/>
      <c r="C9" s="40" t="s">
        <v>119</v>
      </c>
      <c r="D9" s="239">
        <f ca="1">SUM(D4:D6)-D8</f>
        <v>1202.8149929970809</v>
      </c>
      <c r="E9" s="445">
        <f t="shared" ref="E9" ca="1" si="1">SUM(E4:E6)-E8</f>
        <v>1325.1011184294905</v>
      </c>
      <c r="F9" s="445">
        <f ca="1">SUM(F4:F6)-F8</f>
        <v>1476.7962271068682</v>
      </c>
    </row>
    <row r="10" spans="2:6">
      <c r="C10" s="40" t="s">
        <v>120</v>
      </c>
      <c r="D10" s="42">
        <f>D60</f>
        <v>0.105</v>
      </c>
      <c r="E10" s="473">
        <v>0.10249999999999999</v>
      </c>
      <c r="F10" s="473">
        <v>0.10249999999999999</v>
      </c>
    </row>
    <row r="11" spans="2:6">
      <c r="C11" s="40" t="s">
        <v>121</v>
      </c>
      <c r="D11" s="239">
        <f ca="1">D9*D10</f>
        <v>126.2955742646935</v>
      </c>
      <c r="E11" s="445">
        <f t="shared" ref="E11:F11" ca="1" si="2">E9*E10</f>
        <v>135.82286463902275</v>
      </c>
      <c r="F11" s="445">
        <f t="shared" ca="1" si="2"/>
        <v>151.37161327845399</v>
      </c>
    </row>
    <row r="12" spans="2:6">
      <c r="C12" s="37" t="s">
        <v>122</v>
      </c>
      <c r="D12" s="239">
        <f ca="1">Summary!D14</f>
        <v>5234.9315683208697</v>
      </c>
      <c r="E12" s="445">
        <f ca="1">Summary!G14</f>
        <v>5876.7418244786822</v>
      </c>
      <c r="F12" s="445">
        <f ca="1">Summary!J14</f>
        <v>6772.4700381998273</v>
      </c>
    </row>
    <row r="14" spans="2:6">
      <c r="C14" s="36"/>
    </row>
    <row r="15" spans="2:6">
      <c r="C15" s="36"/>
      <c r="D15" s="346"/>
      <c r="E15" s="346"/>
      <c r="F15" s="346"/>
    </row>
    <row r="16" spans="2:6">
      <c r="C16" s="36"/>
      <c r="D16" s="346"/>
      <c r="E16" s="346"/>
      <c r="F16" s="346"/>
    </row>
    <row r="17" spans="3:19">
      <c r="C17" s="36"/>
      <c r="D17" s="346"/>
      <c r="E17" s="346"/>
      <c r="F17" s="346"/>
    </row>
    <row r="18" spans="3:19">
      <c r="C18" s="36"/>
      <c r="D18" s="346"/>
      <c r="E18" s="346"/>
      <c r="F18" s="346"/>
    </row>
    <row r="19" spans="3:19">
      <c r="C19" s="36"/>
      <c r="D19" s="346"/>
      <c r="E19" s="346"/>
      <c r="F19" s="346"/>
    </row>
    <row r="20" spans="3:19">
      <c r="C20" s="36"/>
      <c r="D20" s="346"/>
      <c r="E20" s="346"/>
      <c r="F20" s="346"/>
    </row>
    <row r="21" spans="3:19">
      <c r="C21" s="36"/>
      <c r="D21" s="346"/>
      <c r="E21" s="346"/>
      <c r="F21" s="346"/>
    </row>
    <row r="22" spans="3:19" ht="15.75" thickBot="1">
      <c r="C22" s="36"/>
      <c r="D22" s="346"/>
      <c r="E22" s="346"/>
      <c r="F22" s="346"/>
    </row>
    <row r="23" spans="3:19" ht="15.75" thickBot="1">
      <c r="C23" s="36"/>
      <c r="D23" s="346"/>
      <c r="E23" s="346"/>
      <c r="F23" s="346"/>
      <c r="L23" s="374" t="s">
        <v>123</v>
      </c>
      <c r="M23" s="376" t="s">
        <v>124</v>
      </c>
      <c r="N23" s="377"/>
      <c r="O23" s="377"/>
      <c r="P23" s="377"/>
      <c r="Q23" s="377"/>
      <c r="R23" s="377"/>
      <c r="S23" s="378"/>
    </row>
    <row r="24" spans="3:19" ht="15.75" thickBot="1">
      <c r="C24" s="36"/>
      <c r="D24" s="346"/>
      <c r="E24" s="346"/>
      <c r="F24" s="346"/>
      <c r="L24" s="375"/>
      <c r="M24" s="43" t="s">
        <v>125</v>
      </c>
      <c r="N24" s="43" t="s">
        <v>126</v>
      </c>
      <c r="O24" s="43" t="s">
        <v>127</v>
      </c>
      <c r="P24" s="43" t="s">
        <v>128</v>
      </c>
      <c r="Q24" s="43" t="s">
        <v>129</v>
      </c>
      <c r="R24" s="43" t="s">
        <v>130</v>
      </c>
      <c r="S24" s="44" t="s">
        <v>131</v>
      </c>
    </row>
    <row r="25" spans="3:19" ht="24.75" thickBot="1">
      <c r="L25" s="45" t="s">
        <v>132</v>
      </c>
      <c r="M25" s="45">
        <v>7.95</v>
      </c>
      <c r="N25" s="45">
        <v>7.95</v>
      </c>
      <c r="O25" s="45">
        <v>8.35</v>
      </c>
      <c r="P25" s="45">
        <v>8.6999999999999993</v>
      </c>
      <c r="Q25" s="45">
        <v>8.8000000000000007</v>
      </c>
      <c r="R25" s="45">
        <v>8.85</v>
      </c>
      <c r="S25" s="45">
        <v>8.9</v>
      </c>
    </row>
    <row r="26" spans="3:19" ht="24.75" thickBot="1">
      <c r="C26" s="21" t="s">
        <v>133</v>
      </c>
      <c r="L26" s="45" t="s">
        <v>134</v>
      </c>
      <c r="M26" s="45">
        <v>8.1999999999999993</v>
      </c>
      <c r="N26" s="45">
        <v>8.1999999999999993</v>
      </c>
      <c r="O26" s="45">
        <v>8.5500000000000007</v>
      </c>
      <c r="P26" s="45">
        <v>8.9</v>
      </c>
      <c r="Q26" s="45">
        <v>9</v>
      </c>
      <c r="R26" s="45">
        <v>9.0500000000000007</v>
      </c>
      <c r="S26" s="45">
        <v>9.1</v>
      </c>
    </row>
    <row r="27" spans="3:19" ht="24.75" thickBot="1">
      <c r="L27" s="45" t="s">
        <v>135</v>
      </c>
      <c r="M27" s="45">
        <v>8.1999999999999993</v>
      </c>
      <c r="N27" s="45">
        <v>8.1999999999999993</v>
      </c>
      <c r="O27" s="45">
        <v>8.5500000000000007</v>
      </c>
      <c r="P27" s="45">
        <v>8.9</v>
      </c>
      <c r="Q27" s="45">
        <v>9</v>
      </c>
      <c r="R27" s="45">
        <v>9.0500000000000007</v>
      </c>
      <c r="S27" s="45">
        <v>9.1</v>
      </c>
    </row>
    <row r="28" spans="3:19" ht="24.75" thickBot="1">
      <c r="C28" s="46" t="s">
        <v>136</v>
      </c>
      <c r="D28" s="47">
        <v>9</v>
      </c>
      <c r="L28" s="45" t="s">
        <v>137</v>
      </c>
      <c r="M28" s="45">
        <v>8.1999999999999993</v>
      </c>
      <c r="N28" s="45">
        <v>8.1999999999999993</v>
      </c>
      <c r="O28" s="45">
        <v>8.5500000000000007</v>
      </c>
      <c r="P28" s="45">
        <v>8.9</v>
      </c>
      <c r="Q28" s="45">
        <v>9</v>
      </c>
      <c r="R28" s="45">
        <v>9.0500000000000007</v>
      </c>
      <c r="S28" s="45">
        <v>9.1</v>
      </c>
    </row>
    <row r="29" spans="3:19" ht="24.75" thickBot="1">
      <c r="C29" s="46" t="s">
        <v>138</v>
      </c>
      <c r="D29" s="47">
        <v>9</v>
      </c>
      <c r="L29" s="45" t="s">
        <v>136</v>
      </c>
      <c r="M29" s="45">
        <v>8.1999999999999993</v>
      </c>
      <c r="N29" s="45">
        <v>8.1999999999999993</v>
      </c>
      <c r="O29" s="45">
        <v>8.5500000000000007</v>
      </c>
      <c r="P29" s="45">
        <v>8.9</v>
      </c>
      <c r="Q29" s="45">
        <v>9</v>
      </c>
      <c r="R29" s="45">
        <v>9.0500000000000007</v>
      </c>
      <c r="S29" s="45">
        <v>9.1</v>
      </c>
    </row>
    <row r="30" spans="3:19" ht="24.75" thickBot="1">
      <c r="C30" s="46" t="s">
        <v>139</v>
      </c>
      <c r="D30" s="47">
        <v>9</v>
      </c>
      <c r="L30" s="45" t="s">
        <v>138</v>
      </c>
      <c r="M30" s="45">
        <v>8.1999999999999993</v>
      </c>
      <c r="N30" s="45">
        <v>8.1999999999999993</v>
      </c>
      <c r="O30" s="45">
        <v>8.5500000000000007</v>
      </c>
      <c r="P30" s="45">
        <v>8.9</v>
      </c>
      <c r="Q30" s="45">
        <v>9</v>
      </c>
      <c r="R30" s="45">
        <v>9.0500000000000007</v>
      </c>
      <c r="S30" s="45">
        <v>9.1</v>
      </c>
    </row>
    <row r="31" spans="3:19" ht="24.75" thickBot="1">
      <c r="C31" s="46" t="s">
        <v>140</v>
      </c>
      <c r="D31" s="47">
        <v>9</v>
      </c>
      <c r="L31" s="45" t="s">
        <v>139</v>
      </c>
      <c r="M31" s="45">
        <v>8.1999999999999993</v>
      </c>
      <c r="N31" s="45">
        <v>8.1999999999999993</v>
      </c>
      <c r="O31" s="45">
        <v>8.5500000000000007</v>
      </c>
      <c r="P31" s="45">
        <v>8.9</v>
      </c>
      <c r="Q31" s="45">
        <v>9</v>
      </c>
      <c r="R31" s="45">
        <v>9.0500000000000007</v>
      </c>
      <c r="S31" s="45">
        <v>9.1</v>
      </c>
    </row>
    <row r="32" spans="3:19" ht="24.75" thickBot="1">
      <c r="C32" s="46" t="s">
        <v>141</v>
      </c>
      <c r="D32" s="47">
        <v>9</v>
      </c>
      <c r="L32" s="45" t="s">
        <v>140</v>
      </c>
      <c r="M32" s="45">
        <v>8.1999999999999993</v>
      </c>
      <c r="N32" s="45">
        <v>8.1999999999999993</v>
      </c>
      <c r="O32" s="45">
        <v>8.5500000000000007</v>
      </c>
      <c r="P32" s="45">
        <v>8.9</v>
      </c>
      <c r="Q32" s="45">
        <v>9</v>
      </c>
      <c r="R32" s="45">
        <v>9.0500000000000007</v>
      </c>
      <c r="S32" s="45">
        <v>9.1</v>
      </c>
    </row>
    <row r="33" spans="3:19" ht="24.75" thickBot="1">
      <c r="C33" s="46" t="s">
        <v>142</v>
      </c>
      <c r="D33" s="47">
        <v>8.9499999999999993</v>
      </c>
      <c r="L33" s="45" t="s">
        <v>141</v>
      </c>
      <c r="M33" s="45">
        <v>8.1999999999999993</v>
      </c>
      <c r="N33" s="45">
        <v>8.1999999999999993</v>
      </c>
      <c r="O33" s="45">
        <v>8.5500000000000007</v>
      </c>
      <c r="P33" s="45">
        <v>8.9</v>
      </c>
      <c r="Q33" s="45">
        <v>9</v>
      </c>
      <c r="R33" s="45">
        <v>9.0500000000000007</v>
      </c>
      <c r="S33" s="45">
        <v>9.1</v>
      </c>
    </row>
    <row r="34" spans="3:19" ht="24.75" thickBot="1">
      <c r="C34" s="46" t="s">
        <v>143</v>
      </c>
      <c r="D34" s="47">
        <v>8.9499999999999993</v>
      </c>
      <c r="L34" s="45" t="s">
        <v>142</v>
      </c>
      <c r="M34" s="45">
        <v>8.1999999999999993</v>
      </c>
      <c r="N34" s="45">
        <v>8.1999999999999993</v>
      </c>
      <c r="O34" s="45">
        <v>8.5</v>
      </c>
      <c r="P34" s="45">
        <v>8.85</v>
      </c>
      <c r="Q34" s="45">
        <v>8.9499999999999993</v>
      </c>
      <c r="R34" s="45">
        <v>9.0500000000000007</v>
      </c>
      <c r="S34" s="45">
        <v>9.1</v>
      </c>
    </row>
    <row r="35" spans="3:19" ht="24.75" thickBot="1">
      <c r="C35" s="46" t="s">
        <v>144</v>
      </c>
      <c r="D35" s="47">
        <v>8.9499999999999993</v>
      </c>
      <c r="L35" s="45" t="s">
        <v>143</v>
      </c>
      <c r="M35" s="45">
        <v>8.1999999999999993</v>
      </c>
      <c r="N35" s="45">
        <v>8.4499999999999993</v>
      </c>
      <c r="O35" s="45">
        <v>8.5</v>
      </c>
      <c r="P35" s="45">
        <v>8.85</v>
      </c>
      <c r="Q35" s="45">
        <v>8.9499999999999993</v>
      </c>
      <c r="R35" s="45">
        <v>9.0500000000000007</v>
      </c>
      <c r="S35" s="45">
        <v>9.1</v>
      </c>
    </row>
    <row r="36" spans="3:19" ht="24.75" thickBot="1">
      <c r="C36" s="46" t="s">
        <v>145</v>
      </c>
      <c r="D36" s="47">
        <v>8.85</v>
      </c>
      <c r="L36" s="45" t="s">
        <v>144</v>
      </c>
      <c r="M36" s="45">
        <v>8.1999999999999993</v>
      </c>
      <c r="N36" s="45">
        <v>8.4499999999999993</v>
      </c>
      <c r="O36" s="45">
        <v>8.5</v>
      </c>
      <c r="P36" s="45">
        <v>8.85</v>
      </c>
      <c r="Q36" s="45">
        <v>8.9499999999999993</v>
      </c>
      <c r="R36" s="45">
        <v>9.0500000000000007</v>
      </c>
      <c r="S36" s="45">
        <v>9.1</v>
      </c>
    </row>
    <row r="37" spans="3:19" ht="24.75" thickBot="1">
      <c r="C37" s="46" t="s">
        <v>146</v>
      </c>
      <c r="D37" s="47">
        <v>8.75</v>
      </c>
      <c r="L37" s="45" t="s">
        <v>145</v>
      </c>
      <c r="M37" s="45">
        <v>8.1</v>
      </c>
      <c r="N37" s="45">
        <v>8.35</v>
      </c>
      <c r="O37" s="45">
        <v>8.4</v>
      </c>
      <c r="P37" s="45">
        <v>8.75</v>
      </c>
      <c r="Q37" s="45">
        <v>8.85</v>
      </c>
      <c r="R37" s="45">
        <v>8.9499999999999993</v>
      </c>
      <c r="S37" s="45">
        <v>9</v>
      </c>
    </row>
    <row r="38" spans="3:19" ht="24.75" thickBot="1">
      <c r="C38" s="46" t="s">
        <v>147</v>
      </c>
      <c r="D38" s="47">
        <v>8.65</v>
      </c>
      <c r="L38" s="45" t="s">
        <v>146</v>
      </c>
      <c r="M38" s="45">
        <v>8.1</v>
      </c>
      <c r="N38" s="45">
        <v>8.3000000000000007</v>
      </c>
      <c r="O38" s="45">
        <v>8.3000000000000007</v>
      </c>
      <c r="P38" s="45">
        <v>8.65</v>
      </c>
      <c r="Q38" s="45">
        <v>8.75</v>
      </c>
      <c r="R38" s="45">
        <v>8.85</v>
      </c>
      <c r="S38" s="45">
        <v>8.9499999999999993</v>
      </c>
    </row>
    <row r="39" spans="3:19" ht="24.75" thickBot="1">
      <c r="C39" s="46" t="s">
        <v>148</v>
      </c>
      <c r="D39" s="47">
        <v>8.65</v>
      </c>
      <c r="L39" s="45" t="s">
        <v>147</v>
      </c>
      <c r="M39" s="45">
        <v>8</v>
      </c>
      <c r="N39" s="45">
        <v>8.1999999999999993</v>
      </c>
      <c r="O39" s="45">
        <v>8.1999999999999993</v>
      </c>
      <c r="P39" s="45">
        <v>8.5500000000000007</v>
      </c>
      <c r="Q39" s="45">
        <v>8.65</v>
      </c>
      <c r="R39" s="45">
        <v>8.75</v>
      </c>
      <c r="S39" s="45">
        <v>8.85</v>
      </c>
    </row>
    <row r="40" spans="3:19" ht="24.75" thickBot="1">
      <c r="C40" s="48" t="s">
        <v>149</v>
      </c>
      <c r="D40" s="49">
        <f>AVERAGE(D28:D39)/100</f>
        <v>8.8958333333333334E-2</v>
      </c>
      <c r="L40" s="45" t="s">
        <v>148</v>
      </c>
      <c r="M40" s="45">
        <v>8</v>
      </c>
      <c r="N40" s="45">
        <v>8.1999999999999993</v>
      </c>
      <c r="O40" s="45">
        <v>8.1999999999999993</v>
      </c>
      <c r="P40" s="45">
        <v>8.5500000000000007</v>
      </c>
      <c r="Q40" s="45">
        <v>8.65</v>
      </c>
      <c r="R40" s="45">
        <v>8.75</v>
      </c>
      <c r="S40" s="45">
        <v>8.85</v>
      </c>
    </row>
    <row r="41" spans="3:19" ht="24.75" thickBot="1">
      <c r="C41" s="46" t="s">
        <v>150</v>
      </c>
      <c r="D41" s="50">
        <f>1.5/100</f>
        <v>1.4999999999999999E-2</v>
      </c>
      <c r="L41" s="45" t="s">
        <v>151</v>
      </c>
      <c r="M41" s="45">
        <v>8</v>
      </c>
      <c r="N41" s="45">
        <v>8.1999999999999993</v>
      </c>
      <c r="O41" s="45">
        <v>8.1999999999999993</v>
      </c>
      <c r="P41" s="45">
        <v>8.5500000000000007</v>
      </c>
      <c r="Q41" s="45">
        <v>8.65</v>
      </c>
      <c r="R41" s="45">
        <v>8.75</v>
      </c>
      <c r="S41" s="45">
        <v>8.85</v>
      </c>
    </row>
    <row r="42" spans="3:19" ht="24.75" thickBot="1">
      <c r="C42" s="48" t="s">
        <v>152</v>
      </c>
      <c r="D42" s="49">
        <f>D40+D41</f>
        <v>0.10395833333333333</v>
      </c>
      <c r="L42" s="45" t="s">
        <v>153</v>
      </c>
      <c r="M42" s="45">
        <v>8</v>
      </c>
      <c r="N42" s="45">
        <v>8.1999999999999993</v>
      </c>
      <c r="O42" s="45">
        <v>8.1999999999999993</v>
      </c>
      <c r="P42" s="45">
        <v>8.5500000000000007</v>
      </c>
      <c r="Q42" s="45">
        <v>8.65</v>
      </c>
      <c r="R42" s="45">
        <v>8.75</v>
      </c>
      <c r="S42" s="45">
        <v>8.85</v>
      </c>
    </row>
    <row r="43" spans="3:19" ht="24.75" thickBot="1">
      <c r="L43" s="45" t="s">
        <v>154</v>
      </c>
      <c r="M43" s="45">
        <v>8</v>
      </c>
      <c r="N43" s="45">
        <v>8.1999999999999993</v>
      </c>
      <c r="O43" s="45">
        <v>8.1999999999999993</v>
      </c>
      <c r="P43" s="45">
        <v>8.5500000000000007</v>
      </c>
      <c r="Q43" s="45">
        <v>8.65</v>
      </c>
      <c r="R43" s="45">
        <v>8.75</v>
      </c>
      <c r="S43" s="45">
        <v>8.85</v>
      </c>
    </row>
    <row r="44" spans="3:19" ht="24.75" thickBot="1">
      <c r="C44" s="21" t="s">
        <v>133</v>
      </c>
      <c r="L44" s="45" t="s">
        <v>155</v>
      </c>
      <c r="M44" s="45">
        <v>8</v>
      </c>
      <c r="N44" s="45">
        <v>8.1999999999999993</v>
      </c>
      <c r="O44" s="45">
        <v>8.1999999999999993</v>
      </c>
      <c r="P44" s="45">
        <v>8.5500000000000007</v>
      </c>
      <c r="Q44" s="45">
        <v>8.65</v>
      </c>
      <c r="R44" s="45">
        <v>8.75</v>
      </c>
      <c r="S44" s="45">
        <v>8.85</v>
      </c>
    </row>
    <row r="45" spans="3:19" ht="24.75" thickBot="1">
      <c r="L45" s="45" t="s">
        <v>156</v>
      </c>
      <c r="M45" s="45">
        <v>8</v>
      </c>
      <c r="N45" s="45">
        <v>8.15</v>
      </c>
      <c r="O45" s="45">
        <v>8.15</v>
      </c>
      <c r="P45" s="45">
        <v>8.4499999999999993</v>
      </c>
      <c r="Q45" s="45">
        <v>8.5500000000000007</v>
      </c>
      <c r="R45" s="45">
        <v>8.65</v>
      </c>
      <c r="S45" s="45">
        <v>8.75</v>
      </c>
    </row>
    <row r="46" spans="3:19" ht="24.75" thickBot="1">
      <c r="C46" s="51" t="s">
        <v>136</v>
      </c>
      <c r="D46" s="52">
        <v>9</v>
      </c>
      <c r="L46" s="45" t="s">
        <v>157</v>
      </c>
      <c r="M46" s="45">
        <v>8</v>
      </c>
      <c r="N46" s="45">
        <v>8.15</v>
      </c>
      <c r="O46" s="45">
        <v>8.15</v>
      </c>
      <c r="P46" s="45">
        <v>8.4499999999999993</v>
      </c>
      <c r="Q46" s="45">
        <v>8.5500000000000007</v>
      </c>
      <c r="R46" s="45">
        <v>8.65</v>
      </c>
      <c r="S46" s="45">
        <v>8.75</v>
      </c>
    </row>
    <row r="47" spans="3:19" ht="24.75" thickBot="1">
      <c r="C47" s="46" t="s">
        <v>138</v>
      </c>
      <c r="D47" s="47">
        <v>9</v>
      </c>
      <c r="L47" s="45" t="s">
        <v>158</v>
      </c>
      <c r="M47" s="45">
        <v>8</v>
      </c>
      <c r="N47" s="45">
        <v>8.15</v>
      </c>
      <c r="O47" s="45">
        <v>8.15</v>
      </c>
      <c r="P47" s="45">
        <v>8.4499999999999993</v>
      </c>
      <c r="Q47" s="45">
        <v>8.5500000000000007</v>
      </c>
      <c r="R47" s="45">
        <v>8.65</v>
      </c>
      <c r="S47" s="45">
        <v>8.75</v>
      </c>
    </row>
    <row r="48" spans="3:19" ht="24.75" thickBot="1">
      <c r="C48" s="46" t="s">
        <v>139</v>
      </c>
      <c r="D48" s="47">
        <v>9</v>
      </c>
      <c r="L48" s="45" t="s">
        <v>159</v>
      </c>
      <c r="M48" s="45">
        <v>8</v>
      </c>
      <c r="N48" s="45">
        <v>8.15</v>
      </c>
      <c r="O48" s="45">
        <v>8.15</v>
      </c>
      <c r="P48" s="45">
        <v>8.4499999999999993</v>
      </c>
      <c r="Q48" s="45">
        <v>8.5500000000000007</v>
      </c>
      <c r="R48" s="45">
        <v>8.65</v>
      </c>
      <c r="S48" s="45">
        <v>8.75</v>
      </c>
    </row>
    <row r="49" spans="3:19" ht="24.75" thickBot="1">
      <c r="C49" s="46" t="s">
        <v>140</v>
      </c>
      <c r="D49" s="47">
        <v>9</v>
      </c>
      <c r="L49" s="45" t="s">
        <v>160</v>
      </c>
      <c r="M49" s="45">
        <v>8</v>
      </c>
      <c r="N49" s="45">
        <v>8.15</v>
      </c>
      <c r="O49" s="45">
        <v>8.15</v>
      </c>
      <c r="P49" s="45">
        <v>8.4499999999999993</v>
      </c>
      <c r="Q49" s="45">
        <v>8.5500000000000007</v>
      </c>
      <c r="R49" s="45">
        <v>8.65</v>
      </c>
      <c r="S49" s="45">
        <v>8.75</v>
      </c>
    </row>
    <row r="50" spans="3:19" ht="24.75" thickBot="1">
      <c r="C50" s="46" t="s">
        <v>141</v>
      </c>
      <c r="D50" s="47">
        <v>9</v>
      </c>
      <c r="L50" s="45" t="s">
        <v>161</v>
      </c>
      <c r="M50" s="45">
        <v>7.95</v>
      </c>
      <c r="N50" s="45">
        <v>8.1</v>
      </c>
      <c r="O50" s="45">
        <v>8.1</v>
      </c>
      <c r="P50" s="45">
        <v>8.4</v>
      </c>
      <c r="Q50" s="45">
        <v>8.5</v>
      </c>
      <c r="R50" s="45">
        <v>8.6</v>
      </c>
      <c r="S50" s="45">
        <v>8.6999999999999993</v>
      </c>
    </row>
    <row r="51" spans="3:19" ht="24.75" thickBot="1">
      <c r="C51" s="46" t="s">
        <v>142</v>
      </c>
      <c r="D51" s="47">
        <v>8.9499999999999993</v>
      </c>
      <c r="L51" s="45" t="s">
        <v>162</v>
      </c>
      <c r="M51" s="45">
        <v>7.95</v>
      </c>
      <c r="N51" s="45">
        <v>8.1</v>
      </c>
      <c r="O51" s="45">
        <v>8.1</v>
      </c>
      <c r="P51" s="45">
        <v>8.4</v>
      </c>
      <c r="Q51" s="45">
        <v>8.5</v>
      </c>
      <c r="R51" s="45">
        <v>8.6</v>
      </c>
      <c r="S51" s="45">
        <v>8.6999999999999993</v>
      </c>
    </row>
    <row r="52" spans="3:19" ht="24.75" thickBot="1">
      <c r="C52" s="46" t="s">
        <v>143</v>
      </c>
      <c r="D52" s="47">
        <v>8.9499999999999993</v>
      </c>
      <c r="L52" s="45" t="s">
        <v>163</v>
      </c>
      <c r="M52" s="45">
        <v>7.95</v>
      </c>
      <c r="N52" s="45">
        <v>8.1</v>
      </c>
      <c r="O52" s="45">
        <v>8.1</v>
      </c>
      <c r="P52" s="45">
        <v>8.4</v>
      </c>
      <c r="Q52" s="45">
        <v>8.5</v>
      </c>
      <c r="R52" s="45">
        <v>8.6</v>
      </c>
      <c r="S52" s="45">
        <v>8.6999999999999993</v>
      </c>
    </row>
    <row r="53" spans="3:19" ht="24.75" thickBot="1">
      <c r="C53" s="46" t="s">
        <v>144</v>
      </c>
      <c r="D53" s="47">
        <v>8.9499999999999993</v>
      </c>
      <c r="L53" s="45" t="s">
        <v>164</v>
      </c>
      <c r="M53" s="45">
        <v>7.95</v>
      </c>
      <c r="N53" s="45">
        <v>8.1</v>
      </c>
      <c r="O53" s="45">
        <v>8.1</v>
      </c>
      <c r="P53" s="45">
        <v>8.4</v>
      </c>
      <c r="Q53" s="45">
        <v>8.5</v>
      </c>
      <c r="R53" s="45">
        <v>8.6</v>
      </c>
      <c r="S53" s="45">
        <v>8.6999999999999993</v>
      </c>
    </row>
    <row r="54" spans="3:19" ht="24.75" thickBot="1">
      <c r="C54" s="46" t="s">
        <v>145</v>
      </c>
      <c r="D54" s="47">
        <v>8.85</v>
      </c>
      <c r="L54" s="45" t="s">
        <v>165</v>
      </c>
      <c r="M54" s="45">
        <v>7.95</v>
      </c>
      <c r="N54" s="45">
        <v>8.1</v>
      </c>
      <c r="O54" s="45">
        <v>8.1</v>
      </c>
      <c r="P54" s="45">
        <v>8.4</v>
      </c>
      <c r="Q54" s="45">
        <v>8.5</v>
      </c>
      <c r="R54" s="45">
        <v>8.6</v>
      </c>
      <c r="S54" s="45">
        <v>8.6999999999999993</v>
      </c>
    </row>
    <row r="55" spans="3:19" ht="24.75" thickBot="1">
      <c r="C55" s="46" t="s">
        <v>146</v>
      </c>
      <c r="D55" s="47">
        <v>8.75</v>
      </c>
      <c r="L55" s="45" t="s">
        <v>166</v>
      </c>
      <c r="M55" s="45">
        <v>7.85</v>
      </c>
      <c r="N55" s="45">
        <v>8</v>
      </c>
      <c r="O55" s="45">
        <v>8</v>
      </c>
      <c r="P55" s="45">
        <v>8.3000000000000007</v>
      </c>
      <c r="Q55" s="45">
        <v>8.4</v>
      </c>
      <c r="R55" s="45">
        <v>8.5</v>
      </c>
      <c r="S55" s="45">
        <v>8.6</v>
      </c>
    </row>
    <row r="56" spans="3:19">
      <c r="C56" s="46" t="s">
        <v>147</v>
      </c>
      <c r="D56" s="47">
        <v>8.65</v>
      </c>
    </row>
    <row r="57" spans="3:19">
      <c r="C57" s="46" t="s">
        <v>148</v>
      </c>
      <c r="D57" s="47">
        <v>8.65</v>
      </c>
    </row>
    <row r="58" spans="3:19" ht="24">
      <c r="C58" s="53" t="s">
        <v>167</v>
      </c>
      <c r="D58" s="54">
        <v>0.09</v>
      </c>
    </row>
    <row r="59" spans="3:19">
      <c r="C59" s="51" t="s">
        <v>150</v>
      </c>
      <c r="D59" s="55">
        <f>1.5/100</f>
        <v>1.4999999999999999E-2</v>
      </c>
    </row>
    <row r="60" spans="3:19">
      <c r="C60" s="53" t="s">
        <v>152</v>
      </c>
      <c r="D60" s="54">
        <f>D58+D59</f>
        <v>0.105</v>
      </c>
    </row>
  </sheetData>
  <mergeCells count="2">
    <mergeCell ref="L23:L24"/>
    <mergeCell ref="M23:S23"/>
  </mergeCells>
  <phoneticPr fontId="17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50"/>
  <sheetViews>
    <sheetView topLeftCell="F24" workbookViewId="0">
      <selection activeCell="O38" sqref="O38"/>
    </sheetView>
  </sheetViews>
  <sheetFormatPr defaultColWidth="8.7109375" defaultRowHeight="15"/>
  <cols>
    <col min="1" max="1" width="11.7109375" bestFit="1" customWidth="1"/>
    <col min="15" max="15" width="7" bestFit="1" customWidth="1"/>
    <col min="19" max="19" width="15.28515625" bestFit="1" customWidth="1"/>
  </cols>
  <sheetData>
    <row r="2" spans="1:22">
      <c r="A2" t="s">
        <v>25</v>
      </c>
      <c r="B2" s="56">
        <f>P38</f>
        <v>4.1723471931683416E-2</v>
      </c>
      <c r="C2" t="s">
        <v>168</v>
      </c>
    </row>
    <row r="3" spans="1:22">
      <c r="A3" t="s">
        <v>30</v>
      </c>
      <c r="B3" s="56">
        <f>P20</f>
        <v>4.6620742020606329E-2</v>
      </c>
      <c r="C3" t="s">
        <v>169</v>
      </c>
    </row>
    <row r="6" spans="1:22">
      <c r="A6" s="24" t="s">
        <v>170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</row>
    <row r="7" spans="1:2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S7" s="57">
        <v>0.3</v>
      </c>
      <c r="T7" s="57">
        <v>0.7</v>
      </c>
    </row>
    <row r="8" spans="1:22">
      <c r="A8" s="22" t="s">
        <v>171</v>
      </c>
      <c r="B8" s="22" t="s">
        <v>172</v>
      </c>
      <c r="C8" s="22" t="s">
        <v>173</v>
      </c>
      <c r="D8" s="22" t="s">
        <v>174</v>
      </c>
      <c r="E8" s="22" t="s">
        <v>175</v>
      </c>
      <c r="F8" s="22" t="s">
        <v>176</v>
      </c>
      <c r="G8" s="22" t="s">
        <v>177</v>
      </c>
      <c r="H8" s="22" t="s">
        <v>178</v>
      </c>
      <c r="I8" s="22" t="s">
        <v>179</v>
      </c>
      <c r="J8" s="22" t="s">
        <v>180</v>
      </c>
      <c r="K8" s="22" t="s">
        <v>181</v>
      </c>
      <c r="L8" s="22" t="s">
        <v>182</v>
      </c>
      <c r="M8" s="22" t="s">
        <v>183</v>
      </c>
      <c r="N8" s="22" t="s">
        <v>184</v>
      </c>
      <c r="O8" s="22"/>
      <c r="R8" s="23" t="s">
        <v>185</v>
      </c>
      <c r="S8" s="58" t="s">
        <v>171</v>
      </c>
      <c r="T8" s="58" t="s">
        <v>186</v>
      </c>
      <c r="U8" s="58" t="s">
        <v>23</v>
      </c>
      <c r="V8" s="58" t="s">
        <v>187</v>
      </c>
    </row>
    <row r="9" spans="1:22">
      <c r="A9" s="24" t="s">
        <v>188</v>
      </c>
      <c r="B9" s="24">
        <f>[22]WPI_MONTHLY_INDEX!P2</f>
        <v>108.6</v>
      </c>
      <c r="C9" s="24">
        <f>[22]WPI_MONTHLY_INDEX!Q2</f>
        <v>108.6</v>
      </c>
      <c r="D9" s="24">
        <f>[22]WPI_MONTHLY_INDEX!R2</f>
        <v>110.1</v>
      </c>
      <c r="E9" s="24">
        <f>[22]WPI_MONTHLY_INDEX!S2</f>
        <v>111.2</v>
      </c>
      <c r="F9" s="24">
        <f>[22]WPI_MONTHLY_INDEX!T2</f>
        <v>112.9</v>
      </c>
      <c r="G9" s="24">
        <f>[22]WPI_MONTHLY_INDEX!U2</f>
        <v>114.3</v>
      </c>
      <c r="H9" s="24">
        <f>[22]WPI_MONTHLY_INDEX!V2</f>
        <v>114.6</v>
      </c>
      <c r="I9" s="24">
        <f>[22]WPI_MONTHLY_INDEX!W2</f>
        <v>114.3</v>
      </c>
      <c r="J9" s="24">
        <f>[22]WPI_MONTHLY_INDEX!X2</f>
        <v>113.4</v>
      </c>
      <c r="K9" s="24">
        <f>[22]WPI_MONTHLY_INDEX!Y2</f>
        <v>113.6</v>
      </c>
      <c r="L9" s="24">
        <f>[22]WPI_MONTHLY_INDEX!Z2</f>
        <v>113.6</v>
      </c>
      <c r="M9" s="24">
        <f>[22]WPI_MONTHLY_INDEX!AA2</f>
        <v>114.3</v>
      </c>
      <c r="N9" s="59">
        <f>AVERAGE(B9:M9)</f>
        <v>112.45833333333331</v>
      </c>
      <c r="O9" s="60">
        <f>(N10-N9)/N9</f>
        <v>1.2597258243794169E-2</v>
      </c>
      <c r="R9" s="23" t="s">
        <v>188</v>
      </c>
      <c r="S9" s="59">
        <f t="shared" ref="S9:S21" si="0">N9*$S$7</f>
        <v>33.73749999999999</v>
      </c>
      <c r="T9" s="59">
        <f t="shared" ref="T9:T21" si="1">N27*$T$7</f>
        <v>165.2</v>
      </c>
      <c r="U9" s="59">
        <f>S9+T9</f>
        <v>198.93749999999997</v>
      </c>
    </row>
    <row r="10" spans="1:22">
      <c r="A10" s="24" t="s">
        <v>189</v>
      </c>
      <c r="B10" s="24">
        <f>[22]WPI_MONTHLY_INDEX!AB2</f>
        <v>114.1</v>
      </c>
      <c r="C10" s="24">
        <f>[22]WPI_MONTHLY_INDEX!AC2</f>
        <v>114.8</v>
      </c>
      <c r="D10" s="24">
        <f>[22]WPI_MONTHLY_INDEX!AD2</f>
        <v>115.2</v>
      </c>
      <c r="E10" s="24">
        <f>[22]WPI_MONTHLY_INDEX!AE2</f>
        <v>116.7</v>
      </c>
      <c r="F10" s="24">
        <f>[22]WPI_MONTHLY_INDEX!AF2</f>
        <v>117.2</v>
      </c>
      <c r="G10" s="24">
        <f>[22]WPI_MONTHLY_INDEX!AG2</f>
        <v>116.4</v>
      </c>
      <c r="H10" s="24">
        <f>[22]WPI_MONTHLY_INDEX!AH2</f>
        <v>115.6</v>
      </c>
      <c r="I10" s="24">
        <f>[22]WPI_MONTHLY_INDEX!AI2</f>
        <v>114.1</v>
      </c>
      <c r="J10" s="24">
        <f>[22]WPI_MONTHLY_INDEX!AJ2</f>
        <v>112.1</v>
      </c>
      <c r="K10" s="24">
        <f>[22]WPI_MONTHLY_INDEX!AK2</f>
        <v>110.8</v>
      </c>
      <c r="L10" s="24">
        <f>[22]WPI_MONTHLY_INDEX!AL2</f>
        <v>109.6</v>
      </c>
      <c r="M10" s="24">
        <f>[22]WPI_MONTHLY_INDEX!AM2</f>
        <v>109.9</v>
      </c>
      <c r="N10" s="59">
        <f t="shared" ref="N10:N20" si="2">AVERAGE(B10:M10)</f>
        <v>113.875</v>
      </c>
      <c r="O10" s="60">
        <f t="shared" ref="O10:O20" si="3">(N11-N10)/N10</f>
        <v>-3.6516648371752759E-2</v>
      </c>
      <c r="R10" s="23" t="s">
        <v>189</v>
      </c>
      <c r="S10" s="59">
        <f t="shared" si="0"/>
        <v>34.162500000000001</v>
      </c>
      <c r="T10" s="59">
        <f t="shared" si="1"/>
        <v>175.58333333333334</v>
      </c>
      <c r="U10" s="59">
        <f t="shared" ref="U10:U21" si="4">S10+T10</f>
        <v>209.74583333333334</v>
      </c>
      <c r="V10" s="61">
        <f t="shared" ref="V10:V21" si="5">(U10-U9)/U9</f>
        <v>5.4330296366111808E-2</v>
      </c>
    </row>
    <row r="11" spans="1:22">
      <c r="A11" s="24" t="s">
        <v>190</v>
      </c>
      <c r="B11" s="24">
        <f>[22]WPI_MONTHLY_INDEX!AN2</f>
        <v>110.2</v>
      </c>
      <c r="C11" s="24">
        <f>[22]WPI_MONTHLY_INDEX!AO2</f>
        <v>111.4</v>
      </c>
      <c r="D11" s="24">
        <f>[22]WPI_MONTHLY_INDEX!AP2</f>
        <v>111.8</v>
      </c>
      <c r="E11" s="24">
        <f>[22]WPI_MONTHLY_INDEX!AQ2</f>
        <v>111.1</v>
      </c>
      <c r="F11" s="24">
        <f>[22]WPI_MONTHLY_INDEX!AR2</f>
        <v>110</v>
      </c>
      <c r="G11" s="24">
        <f>[22]WPI_MONTHLY_INDEX!AS2</f>
        <v>109.9</v>
      </c>
      <c r="H11" s="24">
        <f>[22]WPI_MONTHLY_INDEX!AT2</f>
        <v>110.1</v>
      </c>
      <c r="I11" s="24">
        <f>[22]WPI_MONTHLY_INDEX!AU2</f>
        <v>109.9</v>
      </c>
      <c r="J11" s="24">
        <f>[22]WPI_MONTHLY_INDEX!AV2</f>
        <v>109.4</v>
      </c>
      <c r="K11" s="24">
        <f>[22]WPI_MONTHLY_INDEX!AW2</f>
        <v>108</v>
      </c>
      <c r="L11" s="24">
        <f>[22]WPI_MONTHLY_INDEX!AX2</f>
        <v>107.1</v>
      </c>
      <c r="M11" s="24">
        <f>[22]WPI_MONTHLY_INDEX!AY2</f>
        <v>107.7</v>
      </c>
      <c r="N11" s="59">
        <f t="shared" si="2"/>
        <v>109.71666666666665</v>
      </c>
      <c r="O11" s="60">
        <f t="shared" si="3"/>
        <v>1.7317332523165915E-2</v>
      </c>
      <c r="R11" s="23" t="s">
        <v>190</v>
      </c>
      <c r="S11" s="59">
        <f t="shared" si="0"/>
        <v>32.914999999999992</v>
      </c>
      <c r="T11" s="59">
        <f t="shared" si="1"/>
        <v>185.5</v>
      </c>
      <c r="U11" s="59">
        <f t="shared" si="4"/>
        <v>218.41499999999999</v>
      </c>
      <c r="V11" s="62">
        <f t="shared" si="5"/>
        <v>4.133177059536338E-2</v>
      </c>
    </row>
    <row r="12" spans="1:22">
      <c r="A12" s="24" t="s">
        <v>191</v>
      </c>
      <c r="B12" s="24">
        <f>[22]WPI_MONTHLY_INDEX!AZ2</f>
        <v>109</v>
      </c>
      <c r="C12" s="24">
        <f>[22]WPI_MONTHLY_INDEX!BA2</f>
        <v>110.4</v>
      </c>
      <c r="D12" s="24">
        <f>[22]WPI_MONTHLY_INDEX!BB2</f>
        <v>111.7</v>
      </c>
      <c r="E12" s="24">
        <f>[22]WPI_MONTHLY_INDEX!BC2</f>
        <v>111.8</v>
      </c>
      <c r="F12" s="24">
        <f>[22]WPI_MONTHLY_INDEX!BD2</f>
        <v>111.2</v>
      </c>
      <c r="G12" s="24">
        <f>[22]WPI_MONTHLY_INDEX!BE2</f>
        <v>111.4</v>
      </c>
      <c r="H12" s="24">
        <f>[22]WPI_MONTHLY_INDEX!BF2</f>
        <v>111.5</v>
      </c>
      <c r="I12" s="24">
        <f>[22]WPI_MONTHLY_INDEX!BG2</f>
        <v>111.9</v>
      </c>
      <c r="J12" s="24">
        <f>[22]WPI_MONTHLY_INDEX!BH2</f>
        <v>111.7</v>
      </c>
      <c r="K12" s="24">
        <f>[22]WPI_MONTHLY_INDEX!BI2</f>
        <v>112.6</v>
      </c>
      <c r="L12" s="24">
        <f>[22]WPI_MONTHLY_INDEX!BJ2</f>
        <v>113</v>
      </c>
      <c r="M12" s="24">
        <f>[22]WPI_MONTHLY_INDEX!BK2</f>
        <v>113.2</v>
      </c>
      <c r="N12" s="59">
        <f t="shared" si="2"/>
        <v>111.61666666666667</v>
      </c>
      <c r="O12" s="60">
        <f t="shared" si="3"/>
        <v>2.9192175601015183E-2</v>
      </c>
      <c r="R12" s="23" t="s">
        <v>191</v>
      </c>
      <c r="S12" s="59">
        <f t="shared" si="0"/>
        <v>33.484999999999999</v>
      </c>
      <c r="T12" s="59">
        <f t="shared" si="1"/>
        <v>193.14166666666668</v>
      </c>
      <c r="U12" s="59">
        <f t="shared" si="4"/>
        <v>226.62666666666667</v>
      </c>
      <c r="V12" s="61">
        <f t="shared" si="5"/>
        <v>3.7596624163480863E-2</v>
      </c>
    </row>
    <row r="13" spans="1:22">
      <c r="A13" s="24" t="s">
        <v>192</v>
      </c>
      <c r="B13" s="24">
        <f>[22]WPI_MONTHLY_INDEX!BL2</f>
        <v>113.2</v>
      </c>
      <c r="C13" s="24">
        <f>[22]WPI_MONTHLY_INDEX!BM2</f>
        <v>112.9</v>
      </c>
      <c r="D13" s="24">
        <f>[22]WPI_MONTHLY_INDEX!BN2</f>
        <v>112.7</v>
      </c>
      <c r="E13" s="24">
        <f>[22]WPI_MONTHLY_INDEX!BO2</f>
        <v>113.9</v>
      </c>
      <c r="F13" s="24">
        <f>[22]WPI_MONTHLY_INDEX!BP2</f>
        <v>114.8</v>
      </c>
      <c r="G13" s="24">
        <f>[22]WPI_MONTHLY_INDEX!BQ2</f>
        <v>114.9</v>
      </c>
      <c r="H13" s="24">
        <f>[22]WPI_MONTHLY_INDEX!BR2</f>
        <v>115.6</v>
      </c>
      <c r="I13" s="24">
        <f>[22]WPI_MONTHLY_INDEX!BS2</f>
        <v>116.4</v>
      </c>
      <c r="J13" s="24">
        <f>[22]WPI_MONTHLY_INDEX!BT2</f>
        <v>115.7</v>
      </c>
      <c r="K13" s="24">
        <f>[22]WPI_MONTHLY_INDEX!BU2</f>
        <v>116</v>
      </c>
      <c r="L13" s="24">
        <f>[22]WPI_MONTHLY_INDEX!BV2</f>
        <v>116.1</v>
      </c>
      <c r="M13" s="24">
        <f>[22]WPI_MONTHLY_INDEX!BW2</f>
        <v>116.3</v>
      </c>
      <c r="N13" s="59">
        <f t="shared" si="2"/>
        <v>114.87499999999999</v>
      </c>
      <c r="O13" s="60">
        <f t="shared" si="3"/>
        <v>4.280014508523787E-2</v>
      </c>
      <c r="R13" s="23" t="s">
        <v>192</v>
      </c>
      <c r="S13" s="59">
        <f t="shared" si="0"/>
        <v>34.462499999999991</v>
      </c>
      <c r="T13" s="59">
        <f t="shared" si="1"/>
        <v>199.09166666666667</v>
      </c>
      <c r="U13" s="59">
        <f t="shared" si="4"/>
        <v>233.55416666666667</v>
      </c>
      <c r="V13" s="61">
        <f t="shared" si="5"/>
        <v>3.0567894334294327E-2</v>
      </c>
    </row>
    <row r="14" spans="1:22">
      <c r="A14" s="24" t="s">
        <v>193</v>
      </c>
      <c r="B14" s="24">
        <f>[22]WPI_MONTHLY_INDEX!BX2</f>
        <v>117.3</v>
      </c>
      <c r="C14" s="24">
        <f>[22]WPI_MONTHLY_INDEX!BY2</f>
        <v>118.3</v>
      </c>
      <c r="D14" s="24">
        <f>[22]WPI_MONTHLY_INDEX!BZ2</f>
        <v>119.1</v>
      </c>
      <c r="E14" s="24">
        <f>[22]WPI_MONTHLY_INDEX!CA2</f>
        <v>119.9</v>
      </c>
      <c r="F14" s="24">
        <f>[22]WPI_MONTHLY_INDEX!CB2</f>
        <v>120.1</v>
      </c>
      <c r="G14" s="24">
        <f>[22]WPI_MONTHLY_INDEX!CC2</f>
        <v>120.9</v>
      </c>
      <c r="H14" s="24">
        <f>[22]WPI_MONTHLY_INDEX!CD2</f>
        <v>122</v>
      </c>
      <c r="I14" s="24">
        <f>[22]WPI_MONTHLY_INDEX!CE2</f>
        <v>121.6</v>
      </c>
      <c r="J14" s="24">
        <f>[22]WPI_MONTHLY_INDEX!CF2</f>
        <v>119.7</v>
      </c>
      <c r="K14" s="24">
        <f>[22]WPI_MONTHLY_INDEX!CG2</f>
        <v>119.2</v>
      </c>
      <c r="L14" s="24">
        <f>[22]WPI_MONTHLY_INDEX!CH2</f>
        <v>119.5</v>
      </c>
      <c r="M14" s="24">
        <f>[22]WPI_MONTHLY_INDEX!CI2</f>
        <v>119.9</v>
      </c>
      <c r="N14" s="59">
        <f t="shared" si="2"/>
        <v>119.79166666666669</v>
      </c>
      <c r="O14" s="60">
        <f t="shared" si="3"/>
        <v>1.6765217391304283E-2</v>
      </c>
      <c r="R14" s="23" t="s">
        <v>193</v>
      </c>
      <c r="S14" s="59">
        <f t="shared" si="0"/>
        <v>35.937500000000007</v>
      </c>
      <c r="T14" s="59">
        <f t="shared" si="1"/>
        <v>209.94166666666666</v>
      </c>
      <c r="U14" s="59">
        <f t="shared" si="4"/>
        <v>245.87916666666666</v>
      </c>
      <c r="V14" s="61">
        <f t="shared" si="5"/>
        <v>5.2771484131090167E-2</v>
      </c>
    </row>
    <row r="15" spans="1:22">
      <c r="A15" s="24" t="s">
        <v>194</v>
      </c>
      <c r="B15" s="24">
        <f>[22]WPI_MONTHLY_INDEX!CJ2</f>
        <v>121.1</v>
      </c>
      <c r="C15" s="24">
        <f>[22]WPI_MONTHLY_INDEX!CK2</f>
        <v>121.6</v>
      </c>
      <c r="D15" s="24">
        <f>[22]WPI_MONTHLY_INDEX!CL2</f>
        <v>121.5</v>
      </c>
      <c r="E15" s="24">
        <f>[22]WPI_MONTHLY_INDEX!CM2</f>
        <v>121.3</v>
      </c>
      <c r="F15" s="24">
        <f>[22]WPI_MONTHLY_INDEX!CN2</f>
        <v>121.5</v>
      </c>
      <c r="G15" s="24">
        <f>[22]WPI_MONTHLY_INDEX!CO2</f>
        <v>121.3</v>
      </c>
      <c r="H15" s="24">
        <f>[22]WPI_MONTHLY_INDEX!CP2</f>
        <v>122</v>
      </c>
      <c r="I15" s="24">
        <f>[22]WPI_MONTHLY_INDEX!CQ2</f>
        <v>122.3</v>
      </c>
      <c r="J15" s="24">
        <f>[22]WPI_MONTHLY_INDEX!CR2</f>
        <v>123</v>
      </c>
      <c r="K15" s="24">
        <f>[22]WPI_MONTHLY_INDEX!CS2</f>
        <v>123.4</v>
      </c>
      <c r="L15" s="24">
        <f>[22]WPI_MONTHLY_INDEX!CT2</f>
        <v>122.2</v>
      </c>
      <c r="M15" s="24">
        <f>[22]WPI_MONTHLY_INDEX!CU2</f>
        <v>120.4</v>
      </c>
      <c r="N15" s="59">
        <f t="shared" si="2"/>
        <v>121.80000000000001</v>
      </c>
      <c r="O15" s="63">
        <f t="shared" si="3"/>
        <v>1.2931034482758527E-2</v>
      </c>
      <c r="R15" s="23" t="s">
        <v>194</v>
      </c>
      <c r="S15" s="59">
        <f t="shared" si="0"/>
        <v>36.54</v>
      </c>
      <c r="T15" s="59">
        <f t="shared" si="1"/>
        <v>225.74999999999997</v>
      </c>
      <c r="U15" s="59">
        <f t="shared" si="4"/>
        <v>262.28999999999996</v>
      </c>
      <c r="V15" s="61">
        <f t="shared" si="5"/>
        <v>6.6743488502143539E-2</v>
      </c>
    </row>
    <row r="16" spans="1:22">
      <c r="A16" s="24" t="s">
        <v>195</v>
      </c>
      <c r="B16" s="24">
        <f>[22]WPI_MONTHLY_INDEX!CV2</f>
        <v>119.2</v>
      </c>
      <c r="C16" s="24">
        <f>[22]WPI_MONTHLY_INDEX!CW2</f>
        <v>117.5</v>
      </c>
      <c r="D16" s="24">
        <f>[22]WPI_MONTHLY_INDEX!CX2</f>
        <v>119.3</v>
      </c>
      <c r="E16" s="24">
        <f>[22]WPI_MONTHLY_INDEX!CY2</f>
        <v>121</v>
      </c>
      <c r="F16" s="24">
        <f>[22]WPI_MONTHLY_INDEX!CZ2</f>
        <v>122</v>
      </c>
      <c r="G16" s="24">
        <f>[22]WPI_MONTHLY_INDEX!DA2</f>
        <v>122.9</v>
      </c>
      <c r="H16" s="24">
        <f>[22]WPI_MONTHLY_INDEX!DB2</f>
        <v>123.6</v>
      </c>
      <c r="I16" s="24">
        <f>[22]WPI_MONTHLY_INDEX!DC2</f>
        <v>125.1</v>
      </c>
      <c r="J16" s="24">
        <f>[22]WPI_MONTHLY_INDEX!DD2</f>
        <v>125.4</v>
      </c>
      <c r="K16" s="24">
        <f>[22]WPI_MONTHLY_INDEX!DE2</f>
        <v>126.5</v>
      </c>
      <c r="L16" s="24">
        <f>[22]WPI_MONTHLY_INDEX!DF2</f>
        <v>128.1</v>
      </c>
      <c r="M16" s="24">
        <f>[22]WPI_MONTHLY_INDEX!DG2</f>
        <v>129.9</v>
      </c>
      <c r="N16" s="59">
        <f t="shared" si="2"/>
        <v>123.375</v>
      </c>
      <c r="O16" s="63">
        <f t="shared" si="3"/>
        <v>0.12995609591354271</v>
      </c>
      <c r="R16" s="23" t="s">
        <v>195</v>
      </c>
      <c r="S16" s="59">
        <f t="shared" si="0"/>
        <v>37.012499999999996</v>
      </c>
      <c r="T16" s="59">
        <f t="shared" si="1"/>
        <v>237.08579999999995</v>
      </c>
      <c r="U16" s="59">
        <f t="shared" si="4"/>
        <v>274.09829999999994</v>
      </c>
      <c r="V16" s="61">
        <f t="shared" si="5"/>
        <v>4.5020016012810159E-2</v>
      </c>
    </row>
    <row r="17" spans="1:30">
      <c r="A17" s="24" t="s">
        <v>196</v>
      </c>
      <c r="B17" s="24">
        <f>[22]WPI_MONTHLY_INDEX!DH2</f>
        <v>132</v>
      </c>
      <c r="C17" s="24">
        <f>[22]WPI_MONTHLY_INDEX!DI2</f>
        <v>132.9</v>
      </c>
      <c r="D17" s="24">
        <f>[22]WPI_MONTHLY_INDEX!DJ2</f>
        <v>133.69999999999999</v>
      </c>
      <c r="E17" s="24">
        <f>[22]WPI_MONTHLY_INDEX!DK2</f>
        <v>135</v>
      </c>
      <c r="F17" s="24">
        <f>[22]WPI_MONTHLY_INDEX!DL2</f>
        <v>136.19999999999999</v>
      </c>
      <c r="G17" s="24">
        <f>[22]WPI_MONTHLY_INDEX!DM2</f>
        <v>137.4</v>
      </c>
      <c r="H17" s="24">
        <f>[22]WPI_MONTHLY_INDEX!DN2</f>
        <v>140.69999999999999</v>
      </c>
      <c r="I17" s="24">
        <f>[22]WPI_MONTHLY_INDEX!DO2</f>
        <v>143.69999999999999</v>
      </c>
      <c r="J17" s="24">
        <f>[22]WPI_MONTHLY_INDEX!DP2</f>
        <v>143.30000000000001</v>
      </c>
      <c r="K17" s="24">
        <f>[22]WPI_MONTHLY_INDEX!DQ2</f>
        <v>143.80000000000001</v>
      </c>
      <c r="L17" s="24">
        <f>[22]WPI_MONTHLY_INDEX!DR2</f>
        <v>145.30000000000001</v>
      </c>
      <c r="M17" s="24">
        <f>[22]WPI_MONTHLY_INDEX!DS2</f>
        <v>148.9</v>
      </c>
      <c r="N17" s="59">
        <f t="shared" si="2"/>
        <v>139.40833333333333</v>
      </c>
      <c r="O17" s="63">
        <f t="shared" si="3"/>
        <v>9.4088110466854016E-2</v>
      </c>
      <c r="R17" s="23" t="s">
        <v>196</v>
      </c>
      <c r="S17" s="59">
        <f t="shared" si="0"/>
        <v>41.822499999999998</v>
      </c>
      <c r="T17" s="59">
        <f t="shared" si="1"/>
        <v>249.2448</v>
      </c>
      <c r="U17" s="59">
        <f t="shared" si="4"/>
        <v>291.06729999999999</v>
      </c>
      <c r="V17" s="61">
        <f t="shared" si="5"/>
        <v>6.1908446714189963E-2</v>
      </c>
    </row>
    <row r="18" spans="1:30">
      <c r="A18" s="24" t="s">
        <v>197</v>
      </c>
      <c r="B18" s="24">
        <f>[22]WPI_MONTHLY_INDEX!DT2</f>
        <v>152.30000000000001</v>
      </c>
      <c r="C18" s="24">
        <f>[22]WPI_MONTHLY_INDEX!DU2</f>
        <v>155</v>
      </c>
      <c r="D18" s="24">
        <f>[22]WPI_MONTHLY_INDEX!DV2</f>
        <v>155.4</v>
      </c>
      <c r="E18" s="24">
        <f>[22]WPI_MONTHLY_INDEX!DW2</f>
        <v>154</v>
      </c>
      <c r="F18" s="24">
        <f>[22]WPI_MONTHLY_INDEX!DX2</f>
        <v>153.19999999999999</v>
      </c>
      <c r="G18" s="24">
        <f>[22]WPI_MONTHLY_INDEX!DY2</f>
        <v>151.9</v>
      </c>
      <c r="H18" s="24">
        <f>[22]WPI_MONTHLY_INDEX!DZ2</f>
        <v>152.9</v>
      </c>
      <c r="I18" s="24">
        <f>[22]WPI_MONTHLY_INDEX!EA2</f>
        <v>152.5</v>
      </c>
      <c r="J18" s="24">
        <f>[22]WPI_MONTHLY_INDEX!EB2</f>
        <v>150.5</v>
      </c>
      <c r="K18" s="24">
        <f>[22]WPI_MONTHLY_INDEX!EC2</f>
        <v>150.69999999999999</v>
      </c>
      <c r="L18" s="24">
        <f>[22]WPI_MONTHLY_INDEX!ED2</f>
        <v>150.9</v>
      </c>
      <c r="M18" s="24">
        <f>[22]WPI_MONTHLY_INDEX!EE2</f>
        <v>151</v>
      </c>
      <c r="N18" s="59">
        <f t="shared" si="2"/>
        <v>152.52500000000001</v>
      </c>
      <c r="O18" s="63">
        <f t="shared" si="3"/>
        <v>-7.2665683221330825E-3</v>
      </c>
      <c r="R18" s="23" t="s">
        <v>197</v>
      </c>
      <c r="S18" s="59">
        <f t="shared" si="0"/>
        <v>45.7575</v>
      </c>
      <c r="T18" s="59">
        <f t="shared" si="1"/>
        <v>264.33119999999997</v>
      </c>
      <c r="U18" s="59">
        <f t="shared" si="4"/>
        <v>310.08869999999996</v>
      </c>
      <c r="V18" s="61">
        <f t="shared" si="5"/>
        <v>6.535052202703627E-2</v>
      </c>
    </row>
    <row r="19" spans="1:30">
      <c r="A19" s="24" t="s">
        <v>198</v>
      </c>
      <c r="B19" s="24">
        <f>[22]WPI_MONTHLY_INDEX!EF2</f>
        <v>151.1</v>
      </c>
      <c r="C19" s="24">
        <f>[22]WPI_MONTHLY_INDEX!EG2</f>
        <v>149.4</v>
      </c>
      <c r="D19" s="24">
        <f>[22]WPI_MONTHLY_INDEX!EH2</f>
        <v>148.9</v>
      </c>
      <c r="E19" s="24">
        <f>[22]WPI_MONTHLY_INDEX!EI2</f>
        <v>152.1</v>
      </c>
      <c r="F19" s="24">
        <f>[22]WPI_MONTHLY_INDEX!EJ2</f>
        <v>152.5</v>
      </c>
      <c r="G19" s="24">
        <f>[22]WPI_MONTHLY_INDEX!EK2</f>
        <v>151.80000000000001</v>
      </c>
      <c r="H19" s="24">
        <f>[22]WPI_MONTHLY_INDEX!EL2</f>
        <v>152.5</v>
      </c>
      <c r="I19" s="24">
        <f>[22]WPI_MONTHLY_INDEX!EM2</f>
        <v>153.1</v>
      </c>
      <c r="J19" s="24">
        <f>[22]WPI_MONTHLY_INDEX!EN2</f>
        <v>151.80000000000001</v>
      </c>
      <c r="K19" s="24">
        <f>[22]WPI_MONTHLY_INDEX!EO2</f>
        <v>151.19999999999999</v>
      </c>
      <c r="L19" s="24">
        <f>[22]WPI_MONTHLY_INDEX!EP2</f>
        <v>151.19999999999999</v>
      </c>
      <c r="M19" s="24">
        <f>[22]WPI_MONTHLY_INDEX!EQ2</f>
        <v>151.4</v>
      </c>
      <c r="N19" s="59">
        <f t="shared" si="2"/>
        <v>151.41666666666666</v>
      </c>
      <c r="O19" s="63">
        <f t="shared" si="3"/>
        <v>2.2729774353329828E-2</v>
      </c>
      <c r="P19" s="64">
        <f>AVERAGE(O15:O19)</f>
        <v>5.0487689378870403E-2</v>
      </c>
      <c r="R19" s="23" t="s">
        <v>198</v>
      </c>
      <c r="S19" s="59">
        <f t="shared" si="0"/>
        <v>45.424999999999997</v>
      </c>
      <c r="T19" s="59">
        <f t="shared" si="1"/>
        <v>278.04000000000002</v>
      </c>
      <c r="U19" s="59">
        <f t="shared" si="4"/>
        <v>323.46500000000003</v>
      </c>
      <c r="V19" s="61">
        <f t="shared" si="5"/>
        <v>4.3137012087186906E-2</v>
      </c>
    </row>
    <row r="20" spans="1:30">
      <c r="A20" s="24" t="s">
        <v>66</v>
      </c>
      <c r="B20" s="24">
        <f>[22]WPI_MONTHLY_INDEX!ER2</f>
        <v>152.9</v>
      </c>
      <c r="C20" s="24">
        <f>[22]WPI_MONTHLY_INDEX!ES2</f>
        <v>153.5</v>
      </c>
      <c r="D20" s="24">
        <f>[22]WPI_MONTHLY_INDEX!ET2</f>
        <v>154</v>
      </c>
      <c r="E20" s="24">
        <f>[22]WPI_MONTHLY_INDEX!EU2</f>
        <v>155.30000000000001</v>
      </c>
      <c r="F20" s="24">
        <f>[22]WPI_MONTHLY_INDEX!EV2</f>
        <v>154.4</v>
      </c>
      <c r="G20" s="24">
        <f>[22]WPI_MONTHLY_INDEX!EW2</f>
        <v>154.69999999999999</v>
      </c>
      <c r="H20" s="24">
        <f>[22]WPI_MONTHLY_INDEX!EX2</f>
        <v>156.69999999999999</v>
      </c>
      <c r="I20" s="24">
        <f>[22]WPI_MONTHLY_INDEX!EY2</f>
        <v>156.4</v>
      </c>
      <c r="J20" s="24">
        <f>[22]WPI_MONTHLY_INDEX!EZ2</f>
        <v>155.69999999999999</v>
      </c>
      <c r="K20" s="24">
        <f>[22]WPI_MONTHLY_INDEX!FA2</f>
        <v>155</v>
      </c>
      <c r="L20" s="24">
        <f>[22]WPI_MONTHLY_INDEX!FB2</f>
        <v>154.9</v>
      </c>
      <c r="M20" s="24">
        <f>[22]WPI_MONTHLY_INDEX!FC2</f>
        <v>154.80000000000001</v>
      </c>
      <c r="N20" s="59">
        <f t="shared" si="2"/>
        <v>154.85833333333335</v>
      </c>
      <c r="O20" s="60">
        <f t="shared" si="3"/>
        <v>-6.40370230856182E-3</v>
      </c>
      <c r="P20" s="64">
        <f>AVERAGE(O16:O20)</f>
        <v>4.6620742020606329E-2</v>
      </c>
      <c r="R20" s="23" t="s">
        <v>66</v>
      </c>
      <c r="S20" s="59">
        <f t="shared" si="0"/>
        <v>46.457500000000003</v>
      </c>
      <c r="T20" s="59">
        <f t="shared" si="1"/>
        <v>287.44799999999992</v>
      </c>
      <c r="U20" s="59">
        <f t="shared" si="4"/>
        <v>333.9054999999999</v>
      </c>
      <c r="V20" s="61">
        <f t="shared" si="5"/>
        <v>3.2277062433338603E-2</v>
      </c>
    </row>
    <row r="21" spans="1:30">
      <c r="A21" s="24" t="s">
        <v>67</v>
      </c>
      <c r="B21" s="24">
        <v>154.19999999999999</v>
      </c>
      <c r="C21" s="24">
        <v>153.69999999999999</v>
      </c>
      <c r="D21" s="24">
        <v>153.69999999999999</v>
      </c>
      <c r="E21" s="24">
        <v>154.4</v>
      </c>
      <c r="F21" s="24">
        <v>155.19999999999999</v>
      </c>
      <c r="G21" s="24">
        <f>[22]WPI_MONTHLY_INDEX!FI2</f>
        <v>0</v>
      </c>
      <c r="H21" s="24">
        <f>[22]WPI_MONTHLY_INDEX!FJ2</f>
        <v>0</v>
      </c>
      <c r="I21" s="24">
        <f>[22]WPI_MONTHLY_INDEX!FK2</f>
        <v>0</v>
      </c>
      <c r="J21" s="24">
        <f>[22]WPI_MONTHLY_INDEX!FL2</f>
        <v>0</v>
      </c>
      <c r="K21" s="24">
        <f>[22]WPI_MONTHLY_INDEX!FM2</f>
        <v>0</v>
      </c>
      <c r="L21" s="24">
        <f>[22]WPI_MONTHLY_INDEX!FN2</f>
        <v>0</v>
      </c>
      <c r="M21" s="24">
        <f>[22]WPI_MONTHLY_INDEX!FO2</f>
        <v>0</v>
      </c>
      <c r="N21" s="59">
        <f>AVERAGE(B21:D21)</f>
        <v>153.86666666666665</v>
      </c>
      <c r="O21" s="60"/>
      <c r="R21" s="23" t="s">
        <v>67</v>
      </c>
      <c r="S21" s="59">
        <f t="shared" si="0"/>
        <v>46.159999999999989</v>
      </c>
      <c r="T21" s="59">
        <f t="shared" si="1"/>
        <v>290.64</v>
      </c>
      <c r="U21" s="59">
        <f t="shared" si="4"/>
        <v>336.79999999999995</v>
      </c>
      <c r="V21" s="62">
        <f t="shared" si="5"/>
        <v>8.6686203132324904E-3</v>
      </c>
    </row>
    <row r="25" spans="1:30">
      <c r="A25" s="24" t="s">
        <v>186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</row>
    <row r="26" spans="1:30">
      <c r="A26" s="24" t="s">
        <v>199</v>
      </c>
      <c r="B26" s="24" t="s">
        <v>172</v>
      </c>
      <c r="C26" s="24" t="s">
        <v>173</v>
      </c>
      <c r="D26" s="24" t="s">
        <v>174</v>
      </c>
      <c r="E26" s="24" t="s">
        <v>175</v>
      </c>
      <c r="F26" s="24" t="s">
        <v>176</v>
      </c>
      <c r="G26" s="24" t="s">
        <v>177</v>
      </c>
      <c r="H26" s="24" t="s">
        <v>178</v>
      </c>
      <c r="I26" s="24" t="s">
        <v>179</v>
      </c>
      <c r="J26" s="24" t="s">
        <v>180</v>
      </c>
      <c r="K26" s="24" t="s">
        <v>181</v>
      </c>
      <c r="L26" s="24" t="s">
        <v>182</v>
      </c>
      <c r="M26" s="24" t="s">
        <v>183</v>
      </c>
      <c r="N26" s="22" t="s">
        <v>184</v>
      </c>
      <c r="O26" s="22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</row>
    <row r="27" spans="1:30">
      <c r="A27" s="24" t="s">
        <v>188</v>
      </c>
      <c r="B27" s="67">
        <v>226</v>
      </c>
      <c r="C27" s="67">
        <v>228</v>
      </c>
      <c r="D27" s="67">
        <v>231</v>
      </c>
      <c r="E27" s="67">
        <v>235</v>
      </c>
      <c r="F27" s="67">
        <v>237</v>
      </c>
      <c r="G27" s="67">
        <v>238</v>
      </c>
      <c r="H27" s="67">
        <v>241</v>
      </c>
      <c r="I27" s="67">
        <v>243</v>
      </c>
      <c r="J27" s="67">
        <v>239</v>
      </c>
      <c r="K27" s="67">
        <v>237</v>
      </c>
      <c r="L27" s="67">
        <v>238</v>
      </c>
      <c r="M27" s="67">
        <v>239</v>
      </c>
      <c r="N27" s="59">
        <f>AVERAGE(B27:M27)</f>
        <v>236</v>
      </c>
      <c r="O27" s="60">
        <f>(N28-N27)/N27</f>
        <v>6.2853107344632814E-2</v>
      </c>
      <c r="T27" s="26"/>
      <c r="U27" s="68"/>
      <c r="V27" s="68"/>
      <c r="W27" s="68"/>
      <c r="X27" s="68"/>
      <c r="Y27" s="68"/>
      <c r="Z27" s="68"/>
      <c r="AA27" s="68"/>
      <c r="AB27" s="68"/>
      <c r="AC27" s="68"/>
      <c r="AD27" s="68"/>
    </row>
    <row r="28" spans="1:30">
      <c r="A28" s="24" t="s">
        <v>189</v>
      </c>
      <c r="B28" s="67">
        <v>242</v>
      </c>
      <c r="C28" s="67">
        <v>244</v>
      </c>
      <c r="D28" s="67">
        <v>246</v>
      </c>
      <c r="E28" s="67">
        <v>252</v>
      </c>
      <c r="F28" s="67">
        <v>253</v>
      </c>
      <c r="G28" s="67">
        <v>253</v>
      </c>
      <c r="H28" s="67">
        <v>253</v>
      </c>
      <c r="I28" s="67">
        <v>253</v>
      </c>
      <c r="J28" s="67">
        <v>253</v>
      </c>
      <c r="K28" s="67">
        <v>254</v>
      </c>
      <c r="L28" s="67">
        <v>253</v>
      </c>
      <c r="M28" s="67">
        <v>254</v>
      </c>
      <c r="N28" s="59">
        <f t="shared" ref="N28:N38" si="6">AVERAGE(B28:M28)</f>
        <v>250.83333333333334</v>
      </c>
      <c r="O28" s="60">
        <f t="shared" ref="O28:O38" si="7">(N29-N28)/N28</f>
        <v>5.6478405315614578E-2</v>
      </c>
      <c r="T28" s="26"/>
      <c r="U28" s="68"/>
      <c r="V28" s="68"/>
      <c r="W28" s="68"/>
      <c r="X28" s="68"/>
      <c r="Y28" s="68"/>
      <c r="Z28" s="68"/>
      <c r="AA28" s="68"/>
      <c r="AB28" s="68"/>
      <c r="AC28" s="68"/>
      <c r="AD28" s="68"/>
    </row>
    <row r="29" spans="1:30">
      <c r="A29" s="24" t="s">
        <v>190</v>
      </c>
      <c r="B29" s="67">
        <v>256</v>
      </c>
      <c r="C29" s="67">
        <v>258</v>
      </c>
      <c r="D29" s="67">
        <v>261</v>
      </c>
      <c r="E29" s="67">
        <v>263</v>
      </c>
      <c r="F29" s="67">
        <v>264</v>
      </c>
      <c r="G29" s="67">
        <v>266</v>
      </c>
      <c r="H29" s="67">
        <v>269</v>
      </c>
      <c r="I29" s="67">
        <v>270</v>
      </c>
      <c r="J29" s="67">
        <v>269</v>
      </c>
      <c r="K29" s="67">
        <v>269</v>
      </c>
      <c r="L29" s="67">
        <v>267</v>
      </c>
      <c r="M29" s="67">
        <v>268</v>
      </c>
      <c r="N29" s="59">
        <f t="shared" si="6"/>
        <v>265</v>
      </c>
      <c r="O29" s="60">
        <f t="shared" si="7"/>
        <v>4.1194968553459194E-2</v>
      </c>
    </row>
    <row r="30" spans="1:30">
      <c r="A30" s="24" t="s">
        <v>191</v>
      </c>
      <c r="B30" s="67">
        <v>271</v>
      </c>
      <c r="C30" s="67">
        <v>275</v>
      </c>
      <c r="D30" s="67">
        <v>277</v>
      </c>
      <c r="E30" s="67">
        <v>280</v>
      </c>
      <c r="F30" s="67">
        <v>278</v>
      </c>
      <c r="G30" s="67">
        <v>277</v>
      </c>
      <c r="H30" s="67">
        <v>278</v>
      </c>
      <c r="I30" s="67">
        <v>277</v>
      </c>
      <c r="J30" s="67">
        <v>275</v>
      </c>
      <c r="K30" s="67">
        <v>274</v>
      </c>
      <c r="L30" s="67">
        <v>274</v>
      </c>
      <c r="M30" s="67">
        <v>275</v>
      </c>
      <c r="N30" s="59">
        <f t="shared" si="6"/>
        <v>275.91666666666669</v>
      </c>
      <c r="O30" s="60">
        <f t="shared" si="7"/>
        <v>3.0806402899426152E-2</v>
      </c>
    </row>
    <row r="31" spans="1:30">
      <c r="A31" s="24" t="s">
        <v>192</v>
      </c>
      <c r="B31" s="67">
        <v>277</v>
      </c>
      <c r="C31" s="67">
        <v>278</v>
      </c>
      <c r="D31" s="67">
        <v>280</v>
      </c>
      <c r="E31" s="67">
        <v>285</v>
      </c>
      <c r="F31" s="67">
        <v>285</v>
      </c>
      <c r="G31" s="67">
        <v>285</v>
      </c>
      <c r="H31" s="67">
        <v>287</v>
      </c>
      <c r="I31" s="67">
        <v>288</v>
      </c>
      <c r="J31" s="67">
        <v>286</v>
      </c>
      <c r="K31" s="67">
        <v>288</v>
      </c>
      <c r="L31" s="67">
        <v>287</v>
      </c>
      <c r="M31" s="67">
        <v>287</v>
      </c>
      <c r="N31" s="59">
        <f t="shared" si="6"/>
        <v>284.41666666666669</v>
      </c>
      <c r="O31" s="60">
        <f t="shared" si="7"/>
        <v>5.4497509522414292E-2</v>
      </c>
    </row>
    <row r="32" spans="1:30">
      <c r="A32" s="24" t="s">
        <v>193</v>
      </c>
      <c r="B32" s="67">
        <v>288</v>
      </c>
      <c r="C32" s="67">
        <v>289</v>
      </c>
      <c r="D32" s="67">
        <v>291</v>
      </c>
      <c r="E32" s="67">
        <v>301</v>
      </c>
      <c r="F32" s="67">
        <v>301</v>
      </c>
      <c r="G32" s="67">
        <v>301</v>
      </c>
      <c r="H32" s="67">
        <v>302</v>
      </c>
      <c r="I32" s="67">
        <v>302</v>
      </c>
      <c r="J32" s="67">
        <v>301</v>
      </c>
      <c r="K32" s="67">
        <v>307</v>
      </c>
      <c r="L32" s="67">
        <v>307</v>
      </c>
      <c r="M32" s="67">
        <v>309</v>
      </c>
      <c r="N32" s="59">
        <f t="shared" si="6"/>
        <v>299.91666666666669</v>
      </c>
      <c r="O32" s="60">
        <f t="shared" si="7"/>
        <v>7.5298694081689294E-2</v>
      </c>
    </row>
    <row r="33" spans="1:29">
      <c r="A33" s="24" t="s">
        <v>194</v>
      </c>
      <c r="B33" s="67">
        <v>312</v>
      </c>
      <c r="C33" s="67">
        <v>314</v>
      </c>
      <c r="D33" s="67">
        <v>316</v>
      </c>
      <c r="E33" s="67">
        <v>319</v>
      </c>
      <c r="F33" s="67">
        <v>320</v>
      </c>
      <c r="G33" s="67">
        <v>322</v>
      </c>
      <c r="H33" s="67">
        <v>325</v>
      </c>
      <c r="I33" s="67">
        <v>328</v>
      </c>
      <c r="J33" s="67">
        <v>330</v>
      </c>
      <c r="K33" s="67">
        <v>330</v>
      </c>
      <c r="L33" s="67">
        <v>328</v>
      </c>
      <c r="M33" s="67">
        <v>326</v>
      </c>
      <c r="N33" s="59">
        <f t="shared" si="6"/>
        <v>322.5</v>
      </c>
      <c r="O33" s="60">
        <f t="shared" si="7"/>
        <v>5.0213953488371967E-2</v>
      </c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</row>
    <row r="34" spans="1:29">
      <c r="A34" s="24" t="s">
        <v>195</v>
      </c>
      <c r="B34" s="67">
        <v>329</v>
      </c>
      <c r="C34" s="67">
        <v>330</v>
      </c>
      <c r="D34" s="67">
        <v>332</v>
      </c>
      <c r="E34" s="67">
        <v>336</v>
      </c>
      <c r="F34" s="67">
        <v>338</v>
      </c>
      <c r="G34" s="67">
        <v>340.12799999999999</v>
      </c>
      <c r="H34" s="67">
        <v>344.15999999999997</v>
      </c>
      <c r="I34" s="67">
        <v>345.31200000000001</v>
      </c>
      <c r="J34" s="67">
        <v>342.14400000000001</v>
      </c>
      <c r="K34" s="67">
        <v>340.416</v>
      </c>
      <c r="L34" s="67">
        <v>342.71999999999997</v>
      </c>
      <c r="M34" s="67">
        <v>344.44799999999998</v>
      </c>
      <c r="N34" s="59">
        <f t="shared" si="6"/>
        <v>338.69399999999996</v>
      </c>
      <c r="O34" s="60">
        <f t="shared" si="7"/>
        <v>5.1285230916402601E-2</v>
      </c>
      <c r="T34" s="70"/>
      <c r="U34" s="66"/>
      <c r="V34" s="66"/>
      <c r="W34" s="66"/>
      <c r="X34" s="66"/>
      <c r="Y34" s="66"/>
      <c r="Z34" s="66"/>
      <c r="AA34" s="66"/>
      <c r="AB34" s="66"/>
      <c r="AC34" s="66"/>
    </row>
    <row r="35" spans="1:29">
      <c r="A35" s="24" t="s">
        <v>196</v>
      </c>
      <c r="B35" s="67">
        <v>345.88799999999998</v>
      </c>
      <c r="C35" s="67">
        <v>347.32799999999997</v>
      </c>
      <c r="D35" s="67">
        <v>350.49599999999998</v>
      </c>
      <c r="E35" s="67">
        <v>353.66399999999999</v>
      </c>
      <c r="F35" s="67">
        <v>354.24</v>
      </c>
      <c r="G35" s="67">
        <v>355.10399999999998</v>
      </c>
      <c r="H35" s="67">
        <v>359.71199999999999</v>
      </c>
      <c r="I35" s="67">
        <v>362.01600000000002</v>
      </c>
      <c r="J35" s="67">
        <v>361.15199999999999</v>
      </c>
      <c r="K35" s="67">
        <v>360.28799999999995</v>
      </c>
      <c r="L35" s="67">
        <v>360</v>
      </c>
      <c r="M35" s="67">
        <v>362.88</v>
      </c>
      <c r="N35" s="59">
        <f t="shared" si="6"/>
        <v>356.06400000000002</v>
      </c>
      <c r="O35" s="60">
        <f t="shared" si="7"/>
        <v>6.0528444324615696E-2</v>
      </c>
      <c r="T35" s="70"/>
      <c r="U35" s="66"/>
      <c r="V35" s="66"/>
      <c r="W35" s="66"/>
      <c r="X35" s="66"/>
      <c r="Y35" s="66"/>
      <c r="Z35" s="66"/>
      <c r="AA35" s="66"/>
      <c r="AB35" s="66"/>
      <c r="AC35" s="66"/>
    </row>
    <row r="36" spans="1:29">
      <c r="A36" s="24" t="s">
        <v>197</v>
      </c>
      <c r="B36" s="67">
        <v>367.77600000000001</v>
      </c>
      <c r="C36" s="67">
        <v>371.52</v>
      </c>
      <c r="D36" s="67">
        <v>372.09599999999995</v>
      </c>
      <c r="E36" s="67">
        <v>374.11200000000002</v>
      </c>
      <c r="F36" s="67">
        <v>374.97599999999994</v>
      </c>
      <c r="G36" s="67">
        <v>378.14400000000001</v>
      </c>
      <c r="H36" s="67">
        <v>381.59999999999997</v>
      </c>
      <c r="I36" s="67">
        <v>381.59999999999997</v>
      </c>
      <c r="J36" s="67">
        <v>381.024</v>
      </c>
      <c r="K36" s="67">
        <v>382.464</v>
      </c>
      <c r="L36" s="67">
        <v>382.17599999999993</v>
      </c>
      <c r="M36" s="67">
        <v>383.904</v>
      </c>
      <c r="N36" s="59">
        <f t="shared" si="6"/>
        <v>377.61599999999999</v>
      </c>
      <c r="O36" s="60">
        <f t="shared" si="7"/>
        <v>5.1862209228422683E-2</v>
      </c>
    </row>
    <row r="37" spans="1:29">
      <c r="A37" s="24" t="s">
        <v>198</v>
      </c>
      <c r="B37" s="67">
        <v>386.49599999999998</v>
      </c>
      <c r="C37" s="67">
        <v>387.93599999999998</v>
      </c>
      <c r="D37" s="67">
        <v>392.83199999999999</v>
      </c>
      <c r="E37" s="67">
        <v>402.33599999999996</v>
      </c>
      <c r="F37" s="67">
        <v>400.89599999999996</v>
      </c>
      <c r="G37" s="67">
        <v>396</v>
      </c>
      <c r="H37" s="67">
        <v>398.59199999999998</v>
      </c>
      <c r="I37" s="67">
        <v>400.60799999999995</v>
      </c>
      <c r="J37" s="67">
        <v>399.74400000000003</v>
      </c>
      <c r="K37" s="67">
        <v>400.03199999999998</v>
      </c>
      <c r="L37" s="67">
        <v>400.89599999999996</v>
      </c>
      <c r="M37" s="67">
        <v>400.03199999999998</v>
      </c>
      <c r="N37" s="59">
        <f t="shared" si="6"/>
        <v>397.20000000000005</v>
      </c>
      <c r="O37" s="60">
        <f t="shared" si="7"/>
        <v>3.3836858006041998E-2</v>
      </c>
      <c r="P37" s="64"/>
    </row>
    <row r="38" spans="1:29">
      <c r="A38" s="24" t="s">
        <v>66</v>
      </c>
      <c r="B38" s="67">
        <v>401.47199999999998</v>
      </c>
      <c r="C38" s="67">
        <v>402.91199999999998</v>
      </c>
      <c r="D38" s="67">
        <v>407.23200000000003</v>
      </c>
      <c r="E38" s="67">
        <v>410.97599999999994</v>
      </c>
      <c r="F38" s="67">
        <v>410.68799999999999</v>
      </c>
      <c r="G38" s="67">
        <v>412.70400000000001</v>
      </c>
      <c r="H38" s="67">
        <v>416.15999999999997</v>
      </c>
      <c r="I38" s="67">
        <v>416.15999999999997</v>
      </c>
      <c r="J38" s="67">
        <v>413.85599999999994</v>
      </c>
      <c r="K38" s="67">
        <v>412.41599999999994</v>
      </c>
      <c r="L38" s="67">
        <v>411.26400000000001</v>
      </c>
      <c r="M38" s="67">
        <v>411.84</v>
      </c>
      <c r="N38" s="59">
        <f t="shared" si="6"/>
        <v>410.63999999999993</v>
      </c>
      <c r="O38" s="310">
        <f t="shared" si="7"/>
        <v>1.1104617182934103E-2</v>
      </c>
      <c r="P38" s="64">
        <f>AVERAGE(O34:O38)</f>
        <v>4.1723471931683416E-2</v>
      </c>
    </row>
    <row r="39" spans="1:29">
      <c r="A39" s="24" t="s">
        <v>67</v>
      </c>
      <c r="B39" s="67">
        <v>413.28</v>
      </c>
      <c r="C39" s="67">
        <v>414.71999999999997</v>
      </c>
      <c r="D39" s="67">
        <v>417.59999999999997</v>
      </c>
      <c r="E39" s="67">
        <v>421.91999999999996</v>
      </c>
      <c r="F39" s="67">
        <v>423.64799999999997</v>
      </c>
      <c r="G39" s="24"/>
      <c r="H39" s="24"/>
      <c r="I39" s="24"/>
      <c r="J39" s="24"/>
      <c r="K39" s="24"/>
      <c r="L39" s="24"/>
      <c r="M39" s="24"/>
      <c r="N39" s="59">
        <f>AVERAGE(B39:D39)</f>
        <v>415.2</v>
      </c>
      <c r="O39" s="60"/>
    </row>
    <row r="48" spans="1:29">
      <c r="A48" s="71" t="s">
        <v>200</v>
      </c>
      <c r="B48" s="72" t="s">
        <v>201</v>
      </c>
      <c r="C48" s="73"/>
      <c r="D48" s="73"/>
      <c r="E48" s="73"/>
      <c r="F48" s="73"/>
      <c r="G48" s="74" t="s">
        <v>202</v>
      </c>
    </row>
    <row r="49" spans="1:7">
      <c r="A49" s="75" t="s">
        <v>200</v>
      </c>
      <c r="B49" s="76" t="s">
        <v>203</v>
      </c>
      <c r="C49" s="77"/>
      <c r="D49" s="77"/>
      <c r="E49" s="77"/>
      <c r="F49" s="77"/>
      <c r="G49" s="78" t="s">
        <v>204</v>
      </c>
    </row>
    <row r="50" spans="1:7">
      <c r="A50" s="79"/>
      <c r="B50" s="80"/>
      <c r="C50" s="80"/>
      <c r="D50" s="80"/>
      <c r="E50" s="80"/>
      <c r="F50" s="80"/>
      <c r="G50" s="81" t="s">
        <v>205</v>
      </c>
    </row>
  </sheetData>
  <hyperlinks>
    <hyperlink ref="G50" r:id="rId1"/>
    <hyperlink ref="B49" r:id="rId2"/>
    <hyperlink ref="B48" r:id="rId3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13"/>
  <sheetViews>
    <sheetView tabSelected="1" zoomScaleNormal="100" zoomScaleSheetLayoutView="100" workbookViewId="0">
      <pane xSplit="2" ySplit="4" topLeftCell="C11" activePane="bottomRight" state="frozen"/>
      <selection pane="topRight" activeCell="D1" sqref="D1"/>
      <selection pane="bottomLeft" activeCell="A6" sqref="A6"/>
      <selection pane="bottomRight" activeCell="R21" sqref="R21"/>
    </sheetView>
  </sheetViews>
  <sheetFormatPr defaultColWidth="9.28515625" defaultRowHeight="25.15" customHeight="1"/>
  <cols>
    <col min="1" max="1" width="5.42578125" style="117" customWidth="1"/>
    <col min="2" max="2" width="30.7109375" style="117" customWidth="1"/>
    <col min="3" max="3" width="18.42578125" style="117" customWidth="1"/>
    <col min="4" max="4" width="19" style="117" customWidth="1"/>
    <col min="5" max="5" width="16.7109375" style="117" customWidth="1"/>
    <col min="6" max="6" width="16.7109375" style="117" hidden="1" customWidth="1"/>
    <col min="7" max="24" width="16.7109375" style="117" customWidth="1"/>
    <col min="25" max="25" width="11.28515625" style="139" customWidth="1"/>
    <col min="26" max="26" width="23.5703125" style="117" bestFit="1" customWidth="1"/>
    <col min="27" max="27" width="21.42578125" style="117" bestFit="1" customWidth="1"/>
    <col min="28" max="28" width="9.28515625" style="117"/>
    <col min="29" max="29" width="19.28515625" style="117" bestFit="1" customWidth="1"/>
    <col min="30" max="16384" width="9.28515625" style="117"/>
  </cols>
  <sheetData>
    <row r="1" spans="1:27" s="95" customFormat="1" ht="24.75" customHeight="1">
      <c r="A1" s="94" t="s">
        <v>206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</row>
    <row r="2" spans="1:27" s="95" customFormat="1" ht="16.5" customHeight="1">
      <c r="A2" s="96"/>
      <c r="E2" s="97"/>
      <c r="F2" s="97"/>
      <c r="G2" s="97"/>
      <c r="H2" s="98"/>
      <c r="I2" s="98"/>
      <c r="O2" s="95" t="s">
        <v>207</v>
      </c>
      <c r="X2" s="95" t="s">
        <v>207</v>
      </c>
      <c r="Y2" s="99"/>
    </row>
    <row r="3" spans="1:27" s="100" customFormat="1" ht="29.25" customHeight="1">
      <c r="A3" s="382" t="s">
        <v>208</v>
      </c>
      <c r="B3" s="384" t="s">
        <v>209</v>
      </c>
      <c r="C3" s="385" t="s">
        <v>61</v>
      </c>
      <c r="D3" s="386"/>
      <c r="E3" s="386"/>
      <c r="F3" s="386"/>
      <c r="G3" s="387"/>
      <c r="H3" s="379" t="s">
        <v>1</v>
      </c>
      <c r="I3" s="379"/>
      <c r="J3" s="379"/>
      <c r="K3" s="379"/>
      <c r="L3" s="379" t="s">
        <v>2</v>
      </c>
      <c r="M3" s="379"/>
      <c r="N3" s="379"/>
      <c r="O3" s="379"/>
      <c r="P3" s="379" t="s">
        <v>3</v>
      </c>
      <c r="Q3" s="379"/>
      <c r="R3" s="379"/>
      <c r="S3" s="379" t="s">
        <v>210</v>
      </c>
      <c r="T3" s="379"/>
      <c r="U3" s="379"/>
      <c r="V3" s="379" t="s">
        <v>211</v>
      </c>
      <c r="W3" s="379"/>
      <c r="X3" s="379"/>
      <c r="Y3" s="380" t="s">
        <v>212</v>
      </c>
    </row>
    <row r="4" spans="1:27" s="102" customFormat="1" ht="48.75" customHeight="1">
      <c r="A4" s="383"/>
      <c r="B4" s="384"/>
      <c r="C4" s="101" t="s">
        <v>213</v>
      </c>
      <c r="D4" s="101" t="s">
        <v>214</v>
      </c>
      <c r="E4" s="101" t="s">
        <v>215</v>
      </c>
      <c r="F4" s="101" t="s">
        <v>216</v>
      </c>
      <c r="G4" s="101" t="s">
        <v>217</v>
      </c>
      <c r="H4" s="101" t="s">
        <v>215</v>
      </c>
      <c r="I4" s="101" t="s">
        <v>214</v>
      </c>
      <c r="J4" s="101" t="s">
        <v>216</v>
      </c>
      <c r="K4" s="101" t="s">
        <v>218</v>
      </c>
      <c r="L4" s="101" t="s">
        <v>215</v>
      </c>
      <c r="M4" s="101" t="s">
        <v>214</v>
      </c>
      <c r="N4" s="101" t="s">
        <v>216</v>
      </c>
      <c r="O4" s="101" t="s">
        <v>219</v>
      </c>
      <c r="P4" s="101" t="s">
        <v>215</v>
      </c>
      <c r="Q4" s="101" t="s">
        <v>216</v>
      </c>
      <c r="R4" s="101" t="s">
        <v>220</v>
      </c>
      <c r="S4" s="101" t="s">
        <v>215</v>
      </c>
      <c r="T4" s="101" t="s">
        <v>216</v>
      </c>
      <c r="U4" s="101" t="s">
        <v>221</v>
      </c>
      <c r="V4" s="101" t="s">
        <v>215</v>
      </c>
      <c r="W4" s="101" t="s">
        <v>216</v>
      </c>
      <c r="X4" s="101" t="s">
        <v>222</v>
      </c>
      <c r="Y4" s="381"/>
    </row>
    <row r="5" spans="1:27" s="102" customFormat="1" ht="30" customHeight="1">
      <c r="A5" s="103" t="s">
        <v>223</v>
      </c>
      <c r="B5" s="104" t="s">
        <v>224</v>
      </c>
      <c r="C5" s="104"/>
      <c r="D5" s="104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5"/>
      <c r="P5" s="101"/>
      <c r="Q5" s="101"/>
      <c r="R5" s="101"/>
      <c r="S5" s="105"/>
      <c r="T5" s="101"/>
      <c r="U5" s="105"/>
      <c r="V5" s="101"/>
      <c r="W5" s="101"/>
      <c r="X5" s="105"/>
      <c r="Y5" s="106"/>
    </row>
    <row r="6" spans="1:27" s="114" customFormat="1" ht="30" customHeight="1">
      <c r="A6" s="107"/>
      <c r="B6" s="108" t="s">
        <v>225</v>
      </c>
      <c r="C6" s="109">
        <v>5187.68</v>
      </c>
      <c r="D6" s="109">
        <v>2069.4499999999998</v>
      </c>
      <c r="E6" s="110">
        <v>421.09523780000001</v>
      </c>
      <c r="F6" s="110">
        <v>635.43118560000005</v>
      </c>
      <c r="G6" s="110">
        <v>6836.0349915999996</v>
      </c>
      <c r="H6" s="110">
        <v>606.6428568</v>
      </c>
      <c r="I6" s="110">
        <f>465.62</f>
        <v>465.62</v>
      </c>
      <c r="J6" s="110">
        <f>732.84-46.58</f>
        <v>686.26</v>
      </c>
      <c r="K6" s="111">
        <f>G6-H6+I6</f>
        <v>6695.0121347999993</v>
      </c>
      <c r="L6" s="110">
        <f>723.46</f>
        <v>723.46</v>
      </c>
      <c r="M6" s="110">
        <f>328.4+5500</f>
        <v>5828.4</v>
      </c>
      <c r="N6" s="110">
        <f>506.03+622.98-28.28-19.89</f>
        <v>1080.8399999999999</v>
      </c>
      <c r="O6" s="111">
        <f>K6-L6+M6</f>
        <v>11799.952134799998</v>
      </c>
      <c r="P6" s="110">
        <f>1990-240</f>
        <v>1750</v>
      </c>
      <c r="Q6" s="110">
        <f>1128-20.43</f>
        <v>1107.57</v>
      </c>
      <c r="R6" s="111">
        <f>O6-P6</f>
        <v>10049.952134799998</v>
      </c>
      <c r="S6" s="110">
        <f>2049-60</f>
        <v>1989</v>
      </c>
      <c r="T6" s="110">
        <f>913-0.9</f>
        <v>912.1</v>
      </c>
      <c r="U6" s="111">
        <f>R6-S6</f>
        <v>8060.952134799998</v>
      </c>
      <c r="V6" s="110">
        <v>1990</v>
      </c>
      <c r="W6" s="110">
        <v>712.03</v>
      </c>
      <c r="X6" s="111">
        <f>U6-V6</f>
        <v>6070.952134799998</v>
      </c>
      <c r="Y6" s="112">
        <v>0.1012</v>
      </c>
      <c r="Z6" s="113"/>
      <c r="AA6" s="113"/>
    </row>
    <row r="7" spans="1:27" ht="30" customHeight="1">
      <c r="A7" s="115"/>
      <c r="B7" s="108" t="s">
        <v>226</v>
      </c>
      <c r="C7" s="109">
        <f>6361.22-999.97</f>
        <v>5361.25</v>
      </c>
      <c r="D7" s="109">
        <v>934.82</v>
      </c>
      <c r="E7" s="110">
        <v>278.54715160000001</v>
      </c>
      <c r="F7" s="110">
        <v>562.00043330000005</v>
      </c>
      <c r="G7" s="110">
        <v>6017.5200439999999</v>
      </c>
      <c r="H7" s="110">
        <v>402.02</v>
      </c>
      <c r="I7" s="110">
        <v>4465.62</v>
      </c>
      <c r="J7" s="110">
        <f>714.26-0.67</f>
        <v>713.59</v>
      </c>
      <c r="K7" s="111">
        <f t="shared" ref="K7:K9" si="0">G7-H7+I7</f>
        <v>10081.120043999999</v>
      </c>
      <c r="L7" s="110">
        <f>215.94+116.82+275.39+52.08</f>
        <v>660.23</v>
      </c>
      <c r="M7" s="110">
        <f>328.39+3750+750</f>
        <v>4828.3899999999994</v>
      </c>
      <c r="N7" s="110">
        <f>545.84+707.68</f>
        <v>1253.52</v>
      </c>
      <c r="O7" s="111">
        <f t="shared" ref="O7:O9" si="1">K7-L7+M7</f>
        <v>14249.280043999999</v>
      </c>
      <c r="P7" s="110">
        <v>1814</v>
      </c>
      <c r="Q7" s="110">
        <v>1305</v>
      </c>
      <c r="R7" s="111">
        <f t="shared" ref="R7:R9" si="2">O7-P7</f>
        <v>12435.280043999999</v>
      </c>
      <c r="S7" s="110">
        <v>2269</v>
      </c>
      <c r="T7" s="110">
        <v>1075</v>
      </c>
      <c r="U7" s="111">
        <f t="shared" ref="U7:U9" si="3">R7-S7</f>
        <v>10166.280043999999</v>
      </c>
      <c r="V7" s="110">
        <v>2340</v>
      </c>
      <c r="W7" s="110">
        <v>846.8</v>
      </c>
      <c r="X7" s="111">
        <f t="shared" ref="X7:X9" si="4">U7-V7</f>
        <v>7826.2800439999992</v>
      </c>
      <c r="Y7" s="112">
        <v>0.10730000000000001</v>
      </c>
      <c r="Z7" s="116"/>
      <c r="AA7" s="116"/>
    </row>
    <row r="8" spans="1:27" ht="30" customHeight="1">
      <c r="A8" s="115"/>
      <c r="B8" s="118" t="s">
        <v>227</v>
      </c>
      <c r="C8" s="119">
        <v>425.34</v>
      </c>
      <c r="D8" s="109">
        <f t="shared" ref="D8:D9" si="5">G8+E8-C8</f>
        <v>3.1978000000094653E-3</v>
      </c>
      <c r="E8" s="110">
        <v>64.871498399999993</v>
      </c>
      <c r="F8" s="110">
        <v>47.163401700000001</v>
      </c>
      <c r="G8" s="110">
        <v>360.47169939999998</v>
      </c>
      <c r="H8" s="110">
        <v>80.493998399999995</v>
      </c>
      <c r="I8" s="110">
        <v>0</v>
      </c>
      <c r="J8" s="110">
        <v>38.74</v>
      </c>
      <c r="K8" s="111">
        <f t="shared" si="0"/>
        <v>279.97770099999997</v>
      </c>
      <c r="L8" s="110">
        <v>80.493998399999995</v>
      </c>
      <c r="M8" s="110">
        <v>0</v>
      </c>
      <c r="N8" s="110">
        <f>15.83+13.37</f>
        <v>29.2</v>
      </c>
      <c r="O8" s="111">
        <f t="shared" si="1"/>
        <v>199.48370259999996</v>
      </c>
      <c r="P8" s="110">
        <v>80.5</v>
      </c>
      <c r="Q8" s="110">
        <v>19.45</v>
      </c>
      <c r="R8" s="111">
        <f t="shared" si="2"/>
        <v>118.98370259999996</v>
      </c>
      <c r="S8" s="110">
        <v>58.63</v>
      </c>
      <c r="T8" s="110">
        <v>10.41</v>
      </c>
      <c r="U8" s="111">
        <f t="shared" si="3"/>
        <v>60.353702599999956</v>
      </c>
      <c r="V8" s="110">
        <v>42.999998400000003</v>
      </c>
      <c r="W8" s="110">
        <v>4.82</v>
      </c>
      <c r="X8" s="111">
        <f t="shared" si="4"/>
        <v>17.353704199999953</v>
      </c>
      <c r="Y8" s="112">
        <v>0.1198</v>
      </c>
      <c r="Z8" s="116"/>
      <c r="AA8" s="116"/>
    </row>
    <row r="9" spans="1:27" ht="30" customHeight="1">
      <c r="A9" s="115"/>
      <c r="B9" s="108" t="s">
        <v>228</v>
      </c>
      <c r="C9" s="120">
        <v>2024.65</v>
      </c>
      <c r="D9" s="109">
        <f t="shared" si="5"/>
        <v>0</v>
      </c>
      <c r="E9" s="121">
        <v>0</v>
      </c>
      <c r="F9" s="121">
        <v>201.73500000000001</v>
      </c>
      <c r="G9" s="121">
        <v>2024.65</v>
      </c>
      <c r="H9" s="121">
        <v>0</v>
      </c>
      <c r="I9" s="121">
        <v>0</v>
      </c>
      <c r="J9" s="121">
        <v>201.73500000000001</v>
      </c>
      <c r="K9" s="111">
        <f t="shared" si="0"/>
        <v>2024.65</v>
      </c>
      <c r="L9" s="121">
        <v>0</v>
      </c>
      <c r="M9" s="121">
        <v>0</v>
      </c>
      <c r="N9" s="121">
        <v>201.73500000000001</v>
      </c>
      <c r="O9" s="111">
        <f t="shared" si="1"/>
        <v>2024.65</v>
      </c>
      <c r="P9" s="121">
        <v>0</v>
      </c>
      <c r="Q9" s="121">
        <v>201.73500000000001</v>
      </c>
      <c r="R9" s="111">
        <f t="shared" si="2"/>
        <v>2024.65</v>
      </c>
      <c r="S9" s="121">
        <v>0</v>
      </c>
      <c r="T9" s="121">
        <v>201.73500000000001</v>
      </c>
      <c r="U9" s="111">
        <f t="shared" si="3"/>
        <v>2024.65</v>
      </c>
      <c r="V9" s="121">
        <v>2024.65</v>
      </c>
      <c r="W9" s="121">
        <v>201.73500000000001</v>
      </c>
      <c r="X9" s="111">
        <f t="shared" si="4"/>
        <v>0</v>
      </c>
      <c r="Y9" s="112">
        <v>9.98E-2</v>
      </c>
      <c r="Z9" s="116"/>
      <c r="AA9" s="116"/>
    </row>
    <row r="10" spans="1:27" s="114" customFormat="1" ht="49.5" customHeight="1">
      <c r="A10" s="107"/>
      <c r="B10" s="122" t="s">
        <v>229</v>
      </c>
      <c r="C10" s="111">
        <f t="shared" ref="C10:K10" si="6">SUM(C6:C9)</f>
        <v>12998.92</v>
      </c>
      <c r="D10" s="111">
        <f t="shared" si="6"/>
        <v>3004.2731978000002</v>
      </c>
      <c r="E10" s="111">
        <f t="shared" si="6"/>
        <v>764.51388779999991</v>
      </c>
      <c r="F10" s="111">
        <f t="shared" si="6"/>
        <v>1446.3300205999999</v>
      </c>
      <c r="G10" s="111">
        <f t="shared" si="6"/>
        <v>15238.676734999997</v>
      </c>
      <c r="H10" s="111">
        <f t="shared" si="6"/>
        <v>1089.1568551999999</v>
      </c>
      <c r="I10" s="111">
        <f t="shared" si="6"/>
        <v>4931.24</v>
      </c>
      <c r="J10" s="111">
        <f t="shared" si="6"/>
        <v>1640.3249999999998</v>
      </c>
      <c r="K10" s="111">
        <f t="shared" si="6"/>
        <v>19080.7598798</v>
      </c>
      <c r="L10" s="111">
        <v>1525.3610720250001</v>
      </c>
      <c r="M10" s="111">
        <f t="shared" ref="M10:X10" si="7">SUM(M6:M9)</f>
        <v>10656.789999999999</v>
      </c>
      <c r="N10" s="111">
        <f t="shared" si="7"/>
        <v>2565.2949999999996</v>
      </c>
      <c r="O10" s="111">
        <f t="shared" si="7"/>
        <v>28273.365881399997</v>
      </c>
      <c r="P10" s="111">
        <f t="shared" si="7"/>
        <v>3644.5</v>
      </c>
      <c r="Q10" s="111">
        <f t="shared" si="7"/>
        <v>2633.7549999999997</v>
      </c>
      <c r="R10" s="111">
        <f t="shared" si="7"/>
        <v>24628.865881399997</v>
      </c>
      <c r="S10" s="111">
        <f t="shared" si="7"/>
        <v>4316.63</v>
      </c>
      <c r="T10" s="111">
        <f t="shared" si="7"/>
        <v>2199.2449999999999</v>
      </c>
      <c r="U10" s="111">
        <f t="shared" si="7"/>
        <v>20312.2358814</v>
      </c>
      <c r="V10" s="111">
        <f t="shared" si="7"/>
        <v>6397.6499984000002</v>
      </c>
      <c r="W10" s="111">
        <f t="shared" si="7"/>
        <v>1765.3849999999998</v>
      </c>
      <c r="X10" s="111">
        <f t="shared" si="7"/>
        <v>13914.585882999998</v>
      </c>
      <c r="Y10" s="123"/>
      <c r="Z10" s="113"/>
      <c r="AA10" s="113"/>
    </row>
    <row r="11" spans="1:27" ht="30" customHeight="1">
      <c r="A11" s="115"/>
      <c r="B11" s="101"/>
      <c r="C11" s="124"/>
      <c r="D11" s="124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12"/>
      <c r="Z11" s="116"/>
      <c r="AA11" s="116"/>
    </row>
    <row r="12" spans="1:27" ht="30" customHeight="1">
      <c r="A12" s="107" t="s">
        <v>230</v>
      </c>
      <c r="B12" s="126" t="s">
        <v>231</v>
      </c>
      <c r="C12" s="127"/>
      <c r="D12" s="127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12"/>
      <c r="Z12" s="116"/>
      <c r="AA12" s="116"/>
    </row>
    <row r="13" spans="1:27" ht="30" customHeight="1">
      <c r="A13" s="115"/>
      <c r="B13" s="128" t="s">
        <v>232</v>
      </c>
      <c r="C13" s="129">
        <v>1275.17</v>
      </c>
      <c r="D13" s="129">
        <v>0</v>
      </c>
      <c r="E13" s="110">
        <v>0</v>
      </c>
      <c r="F13" s="110">
        <v>123.20578879999999</v>
      </c>
      <c r="G13" s="110">
        <v>1210.0615295</v>
      </c>
      <c r="H13" s="110">
        <f>778.76</f>
        <v>778.76</v>
      </c>
      <c r="I13" s="110">
        <f>1000</f>
        <v>1000</v>
      </c>
      <c r="J13" s="110">
        <v>149.38</v>
      </c>
      <c r="K13" s="124">
        <f>G13+I13-H13</f>
        <v>1431.3015294999998</v>
      </c>
      <c r="L13" s="110">
        <v>0</v>
      </c>
      <c r="M13" s="110">
        <v>0</v>
      </c>
      <c r="N13" s="110">
        <f>109.82+132.9</f>
        <v>242.72</v>
      </c>
      <c r="O13" s="124">
        <f>K13</f>
        <v>1431.3015294999998</v>
      </c>
      <c r="P13" s="110">
        <v>0</v>
      </c>
      <c r="Q13" s="110">
        <v>266</v>
      </c>
      <c r="R13" s="124">
        <f>O13</f>
        <v>1431.3015294999998</v>
      </c>
      <c r="S13" s="110">
        <v>0</v>
      </c>
      <c r="T13" s="110">
        <v>266</v>
      </c>
      <c r="U13" s="124">
        <f>O13</f>
        <v>1431.3015294999998</v>
      </c>
      <c r="V13" s="110">
        <v>0</v>
      </c>
      <c r="W13" s="110">
        <v>266</v>
      </c>
      <c r="X13" s="124">
        <f>O13</f>
        <v>1431.3015294999998</v>
      </c>
      <c r="Y13" s="112">
        <v>0.1108</v>
      </c>
      <c r="Z13" s="116"/>
      <c r="AA13" s="116"/>
    </row>
    <row r="14" spans="1:27" ht="30" customHeight="1">
      <c r="A14" s="115"/>
      <c r="B14" s="130" t="s">
        <v>233</v>
      </c>
      <c r="C14" s="131">
        <v>1000</v>
      </c>
      <c r="D14" s="131">
        <f>6572.01-2069.45</f>
        <v>4502.5600000000004</v>
      </c>
      <c r="E14" s="132">
        <f>1499.3602102+230.65</f>
        <v>1730.0102102000001</v>
      </c>
      <c r="F14" s="132">
        <v>228.90810669999999</v>
      </c>
      <c r="G14" s="132">
        <f>C14+D14-E14</f>
        <v>3772.5497898000003</v>
      </c>
      <c r="H14" s="132">
        <v>4763.46</v>
      </c>
      <c r="I14" s="132">
        <v>4636.42</v>
      </c>
      <c r="J14" s="132">
        <v>398.4</v>
      </c>
      <c r="K14" s="111">
        <f>G14+I14-H14</f>
        <v>3645.5097898000013</v>
      </c>
      <c r="L14" s="132">
        <v>4863.1099999999997</v>
      </c>
      <c r="M14" s="132">
        <v>1217.5999999999999</v>
      </c>
      <c r="N14" s="132">
        <f>99.21</f>
        <v>99.21</v>
      </c>
      <c r="O14" s="111">
        <f>K14+M14-L14</f>
        <v>-2.1019999894633656E-4</v>
      </c>
      <c r="P14" s="132">
        <v>0</v>
      </c>
      <c r="Q14" s="132">
        <v>0</v>
      </c>
      <c r="R14" s="111">
        <f>O14-P14</f>
        <v>-2.1019999894633656E-4</v>
      </c>
      <c r="S14" s="132">
        <v>0</v>
      </c>
      <c r="T14" s="132">
        <v>0</v>
      </c>
      <c r="U14" s="111">
        <f>R14-S14</f>
        <v>-2.1019999894633656E-4</v>
      </c>
      <c r="V14" s="132">
        <f>U14</f>
        <v>-2.1019999894633656E-4</v>
      </c>
      <c r="W14" s="132">
        <v>0</v>
      </c>
      <c r="X14" s="111">
        <f>U14-V14</f>
        <v>0</v>
      </c>
      <c r="Y14" s="112">
        <v>0.1</v>
      </c>
      <c r="Z14" s="116"/>
      <c r="AA14" s="116"/>
    </row>
    <row r="15" spans="1:27" ht="30" customHeight="1">
      <c r="A15" s="115"/>
      <c r="B15" s="130" t="s">
        <v>234</v>
      </c>
      <c r="C15" s="131">
        <v>999.97</v>
      </c>
      <c r="D15" s="131">
        <f>4464.18-934.82</f>
        <v>3529.36</v>
      </c>
      <c r="E15" s="132">
        <f>1206.8889417+323.67</f>
        <v>1530.5589417000001</v>
      </c>
      <c r="F15" s="132">
        <v>142.6544524</v>
      </c>
      <c r="G15" s="132">
        <f t="shared" ref="G15:G20" si="8">C15+D15-E15</f>
        <v>2998.7710582999998</v>
      </c>
      <c r="H15" s="132">
        <v>3752.71</v>
      </c>
      <c r="I15" s="132">
        <v>4855.13</v>
      </c>
      <c r="J15" s="132">
        <v>318.39</v>
      </c>
      <c r="K15" s="111">
        <f>G15+I15-H15</f>
        <v>4101.1910582999999</v>
      </c>
      <c r="L15" s="132">
        <f>5955.54+750.77</f>
        <v>6706.3099999999995</v>
      </c>
      <c r="M15" s="132">
        <f>2605.12</f>
        <v>2605.12</v>
      </c>
      <c r="N15" s="132">
        <f>228.24+(37.54)</f>
        <v>265.78000000000003</v>
      </c>
      <c r="O15" s="111">
        <f>K15+M15-L15</f>
        <v>1.0583000002952758E-3</v>
      </c>
      <c r="P15" s="132">
        <v>0</v>
      </c>
      <c r="Q15" s="132">
        <v>0</v>
      </c>
      <c r="R15" s="111">
        <f t="shared" ref="R15:R20" si="9">O15-P15</f>
        <v>1.0583000002952758E-3</v>
      </c>
      <c r="S15" s="132">
        <v>0</v>
      </c>
      <c r="T15" s="132">
        <v>0</v>
      </c>
      <c r="U15" s="111">
        <f t="shared" ref="U15:U20" si="10">R15-S15</f>
        <v>1.0583000002952758E-3</v>
      </c>
      <c r="V15" s="132">
        <v>0</v>
      </c>
      <c r="W15" s="132">
        <v>0</v>
      </c>
      <c r="X15" s="111">
        <f t="shared" ref="X15:X20" si="11">U15-V15</f>
        <v>1.0583000002952758E-3</v>
      </c>
      <c r="Y15" s="112">
        <v>0.1</v>
      </c>
      <c r="Z15" s="116"/>
      <c r="AA15" s="116"/>
    </row>
    <row r="16" spans="1:27" ht="30" customHeight="1">
      <c r="A16" s="115"/>
      <c r="B16" s="130" t="s">
        <v>235</v>
      </c>
      <c r="C16" s="131">
        <v>0</v>
      </c>
      <c r="D16" s="131">
        <v>0</v>
      </c>
      <c r="E16" s="132">
        <v>0</v>
      </c>
      <c r="F16" s="132"/>
      <c r="G16" s="132">
        <f t="shared" si="8"/>
        <v>0</v>
      </c>
      <c r="H16" s="132">
        <v>0</v>
      </c>
      <c r="I16" s="132">
        <f>500</f>
        <v>500</v>
      </c>
      <c r="J16" s="132">
        <v>46.58</v>
      </c>
      <c r="K16" s="111">
        <f>G16+I16-H16</f>
        <v>500</v>
      </c>
      <c r="L16" s="132">
        <f>80+120</f>
        <v>200</v>
      </c>
      <c r="M16" s="132">
        <v>0</v>
      </c>
      <c r="N16" s="132">
        <f>28.28+19.89</f>
        <v>48.17</v>
      </c>
      <c r="O16" s="111">
        <f>K16+M16-L16</f>
        <v>300</v>
      </c>
      <c r="P16" s="132">
        <v>240</v>
      </c>
      <c r="Q16" s="132">
        <v>20.43</v>
      </c>
      <c r="R16" s="111">
        <f t="shared" si="9"/>
        <v>60</v>
      </c>
      <c r="S16" s="132">
        <v>60</v>
      </c>
      <c r="T16" s="132">
        <v>0.9</v>
      </c>
      <c r="U16" s="111">
        <f t="shared" si="10"/>
        <v>0</v>
      </c>
      <c r="V16" s="132"/>
      <c r="W16" s="132"/>
      <c r="X16" s="111"/>
      <c r="Y16" s="112">
        <v>0.1075</v>
      </c>
      <c r="Z16" s="116"/>
      <c r="AA16" s="116"/>
    </row>
    <row r="17" spans="1:27" ht="30" customHeight="1">
      <c r="A17" s="115"/>
      <c r="B17" s="130" t="s">
        <v>236</v>
      </c>
      <c r="C17" s="131">
        <v>0</v>
      </c>
      <c r="D17" s="131">
        <v>0</v>
      </c>
      <c r="E17" s="132">
        <v>0</v>
      </c>
      <c r="F17" s="132"/>
      <c r="G17" s="132">
        <f t="shared" si="8"/>
        <v>0</v>
      </c>
      <c r="H17" s="132">
        <v>0</v>
      </c>
      <c r="I17" s="132">
        <v>2000</v>
      </c>
      <c r="J17" s="132">
        <v>44.47</v>
      </c>
      <c r="K17" s="111">
        <f>G17+I17-H17</f>
        <v>2000</v>
      </c>
      <c r="L17" s="132">
        <f>250</f>
        <v>250</v>
      </c>
      <c r="M17" s="132">
        <v>0</v>
      </c>
      <c r="N17" s="132">
        <f>108.38+104.89</f>
        <v>213.26999999999998</v>
      </c>
      <c r="O17" s="111">
        <f>K17-L17+M17</f>
        <v>1750</v>
      </c>
      <c r="P17" s="132">
        <v>1000</v>
      </c>
      <c r="Q17" s="132">
        <v>139</v>
      </c>
      <c r="R17" s="111">
        <f t="shared" si="9"/>
        <v>750</v>
      </c>
      <c r="S17" s="132">
        <v>750</v>
      </c>
      <c r="T17" s="132">
        <v>34</v>
      </c>
      <c r="U17" s="132">
        <f t="shared" si="10"/>
        <v>0</v>
      </c>
      <c r="V17" s="132">
        <v>0</v>
      </c>
      <c r="W17" s="132">
        <v>0</v>
      </c>
      <c r="X17" s="111">
        <f t="shared" si="11"/>
        <v>0</v>
      </c>
      <c r="Y17" s="112">
        <v>0.1075</v>
      </c>
      <c r="Z17" s="116"/>
      <c r="AA17" s="116"/>
    </row>
    <row r="18" spans="1:27" ht="30" customHeight="1">
      <c r="A18" s="115"/>
      <c r="B18" s="118" t="s">
        <v>237</v>
      </c>
      <c r="C18" s="119">
        <v>698.67</v>
      </c>
      <c r="D18" s="109">
        <v>0</v>
      </c>
      <c r="E18" s="110">
        <v>434.69</v>
      </c>
      <c r="F18" s="110">
        <v>49.9141482</v>
      </c>
      <c r="G18" s="132">
        <f t="shared" si="8"/>
        <v>263.97999999999996</v>
      </c>
      <c r="H18" s="110">
        <v>364</v>
      </c>
      <c r="I18" s="110">
        <v>2000</v>
      </c>
      <c r="J18" s="110">
        <v>99.96</v>
      </c>
      <c r="K18" s="111">
        <f>G18-H18+I18</f>
        <v>1899.98</v>
      </c>
      <c r="L18" s="110">
        <f>250+600</f>
        <v>850</v>
      </c>
      <c r="M18" s="110">
        <v>1500</v>
      </c>
      <c r="N18" s="110">
        <f>129.59+144.65</f>
        <v>274.24</v>
      </c>
      <c r="O18" s="111">
        <f>K18-L18+M18</f>
        <v>2549.98</v>
      </c>
      <c r="P18" s="110">
        <v>1400</v>
      </c>
      <c r="Q18" s="110">
        <v>187.44</v>
      </c>
      <c r="R18" s="111">
        <f t="shared" si="9"/>
        <v>1149.98</v>
      </c>
      <c r="S18" s="110">
        <v>1050</v>
      </c>
      <c r="T18" s="110">
        <v>59</v>
      </c>
      <c r="U18" s="111">
        <f t="shared" si="10"/>
        <v>99.980000000000018</v>
      </c>
      <c r="V18" s="110">
        <v>100</v>
      </c>
      <c r="W18" s="110">
        <v>1.2</v>
      </c>
      <c r="X18" s="111">
        <f t="shared" si="11"/>
        <v>-1.999999999998181E-2</v>
      </c>
      <c r="Y18" s="112">
        <v>9.9500000000000005E-2</v>
      </c>
      <c r="Z18" s="116"/>
      <c r="AA18" s="116"/>
    </row>
    <row r="19" spans="1:27" ht="30" customHeight="1">
      <c r="A19" s="115"/>
      <c r="B19" s="118" t="s">
        <v>238</v>
      </c>
      <c r="C19" s="119">
        <v>1318.82</v>
      </c>
      <c r="D19" s="109">
        <v>0</v>
      </c>
      <c r="E19" s="110">
        <v>447.26</v>
      </c>
      <c r="F19" s="110">
        <v>117.0574706</v>
      </c>
      <c r="G19" s="132">
        <f t="shared" si="8"/>
        <v>871.56</v>
      </c>
      <c r="H19" s="110">
        <v>413.63</v>
      </c>
      <c r="I19" s="110">
        <v>0</v>
      </c>
      <c r="J19" s="110">
        <f>74.99</f>
        <v>74.989999999999995</v>
      </c>
      <c r="K19" s="111">
        <f>G19-H19+I19</f>
        <v>457.92999999999995</v>
      </c>
      <c r="L19" s="110">
        <v>319.5602384</v>
      </c>
      <c r="M19" s="110">
        <v>0</v>
      </c>
      <c r="N19" s="110">
        <f>20.27+10.76</f>
        <v>31.03</v>
      </c>
      <c r="O19" s="111">
        <f>K19-L19+M19</f>
        <v>138.36976159999995</v>
      </c>
      <c r="P19" s="110">
        <v>123.96271400000001</v>
      </c>
      <c r="Q19" s="110">
        <v>9.0399999999999991</v>
      </c>
      <c r="R19" s="111">
        <f>O19-P19</f>
        <v>14.407047599999942</v>
      </c>
      <c r="S19" s="110">
        <v>14.406492099999999</v>
      </c>
      <c r="T19" s="110">
        <v>0.36</v>
      </c>
      <c r="U19" s="111">
        <f>R19-S19</f>
        <v>5.5549999994219945E-4</v>
      </c>
      <c r="V19" s="110">
        <v>0</v>
      </c>
      <c r="W19" s="110">
        <v>0</v>
      </c>
      <c r="X19" s="111">
        <f>U19-V19</f>
        <v>5.5549999994219945E-4</v>
      </c>
      <c r="Y19" s="112">
        <v>0.11219999999999999</v>
      </c>
      <c r="Z19" s="116"/>
      <c r="AA19" s="116"/>
    </row>
    <row r="20" spans="1:27" ht="30" customHeight="1">
      <c r="A20" s="115"/>
      <c r="B20" s="130" t="s">
        <v>239</v>
      </c>
      <c r="C20" s="131">
        <v>23.12</v>
      </c>
      <c r="D20" s="131">
        <v>0</v>
      </c>
      <c r="E20" s="132">
        <v>23.12</v>
      </c>
      <c r="F20" s="132">
        <v>0</v>
      </c>
      <c r="G20" s="132">
        <f t="shared" si="8"/>
        <v>0</v>
      </c>
      <c r="H20" s="132">
        <v>0</v>
      </c>
      <c r="I20" s="132">
        <v>0</v>
      </c>
      <c r="J20" s="132">
        <v>0</v>
      </c>
      <c r="K20" s="132">
        <v>0</v>
      </c>
      <c r="L20" s="132">
        <v>0</v>
      </c>
      <c r="M20" s="132">
        <v>0</v>
      </c>
      <c r="N20" s="132">
        <v>0</v>
      </c>
      <c r="O20" s="132">
        <v>0</v>
      </c>
      <c r="P20" s="132">
        <v>0</v>
      </c>
      <c r="Q20" s="132">
        <v>0</v>
      </c>
      <c r="R20" s="132">
        <f t="shared" si="9"/>
        <v>0</v>
      </c>
      <c r="S20" s="132">
        <v>0</v>
      </c>
      <c r="T20" s="132">
        <v>0</v>
      </c>
      <c r="U20" s="132">
        <f t="shared" si="10"/>
        <v>0</v>
      </c>
      <c r="V20" s="132">
        <v>0</v>
      </c>
      <c r="W20" s="132">
        <v>0</v>
      </c>
      <c r="X20" s="111">
        <f t="shared" si="11"/>
        <v>0</v>
      </c>
      <c r="Y20" s="112"/>
      <c r="Z20" s="116"/>
      <c r="AA20" s="116"/>
    </row>
    <row r="21" spans="1:27" s="114" customFormat="1" ht="49.5" customHeight="1">
      <c r="A21" s="107"/>
      <c r="B21" s="122" t="s">
        <v>240</v>
      </c>
      <c r="C21" s="111">
        <f t="shared" ref="C21:X21" si="12">SUM(C13:C20)</f>
        <v>5315.75</v>
      </c>
      <c r="D21" s="111">
        <f t="shared" si="12"/>
        <v>8031.92</v>
      </c>
      <c r="E21" s="111">
        <f t="shared" si="12"/>
        <v>4165.6391518999999</v>
      </c>
      <c r="F21" s="111">
        <f t="shared" si="12"/>
        <v>661.73996669999997</v>
      </c>
      <c r="G21" s="111">
        <f t="shared" si="12"/>
        <v>9116.9223775999999</v>
      </c>
      <c r="H21" s="111">
        <f t="shared" si="12"/>
        <v>10072.56</v>
      </c>
      <c r="I21" s="111">
        <f t="shared" si="12"/>
        <v>14991.55</v>
      </c>
      <c r="J21" s="111">
        <f t="shared" si="12"/>
        <v>1132.17</v>
      </c>
      <c r="K21" s="111">
        <f t="shared" si="12"/>
        <v>14035.912377600001</v>
      </c>
      <c r="L21" s="111">
        <f t="shared" si="12"/>
        <v>13188.980238399998</v>
      </c>
      <c r="M21" s="111">
        <f t="shared" si="12"/>
        <v>5322.7199999999993</v>
      </c>
      <c r="N21" s="111">
        <f t="shared" si="12"/>
        <v>1174.4199999999998</v>
      </c>
      <c r="O21" s="111">
        <f t="shared" si="12"/>
        <v>6169.6521392000004</v>
      </c>
      <c r="P21" s="111">
        <f t="shared" si="12"/>
        <v>2763.9627140000002</v>
      </c>
      <c r="Q21" s="111">
        <f t="shared" si="12"/>
        <v>621.91</v>
      </c>
      <c r="R21" s="111">
        <f t="shared" si="12"/>
        <v>3405.6894252000011</v>
      </c>
      <c r="S21" s="111">
        <f t="shared" si="12"/>
        <v>1874.4064920999999</v>
      </c>
      <c r="T21" s="111">
        <f t="shared" si="12"/>
        <v>360.26</v>
      </c>
      <c r="U21" s="111">
        <f t="shared" si="12"/>
        <v>1531.2829331000012</v>
      </c>
      <c r="V21" s="111">
        <f t="shared" si="12"/>
        <v>99.999789800001054</v>
      </c>
      <c r="W21" s="111">
        <f t="shared" si="12"/>
        <v>267.2</v>
      </c>
      <c r="X21" s="111">
        <f t="shared" si="12"/>
        <v>1431.2831433000001</v>
      </c>
      <c r="Y21" s="123"/>
      <c r="Z21" s="113"/>
      <c r="AA21" s="113"/>
    </row>
    <row r="22" spans="1:27" s="114" customFormat="1" ht="30" customHeight="1">
      <c r="A22" s="133"/>
      <c r="B22" s="134" t="s">
        <v>241</v>
      </c>
      <c r="C22" s="135">
        <f>C21+C10</f>
        <v>18314.669999999998</v>
      </c>
      <c r="D22" s="135">
        <f>D21+D10</f>
        <v>11036.193197799999</v>
      </c>
      <c r="E22" s="136">
        <f t="shared" ref="E22:X22" si="13">E10+E21</f>
        <v>4930.1530396999997</v>
      </c>
      <c r="F22" s="136">
        <f t="shared" si="13"/>
        <v>2108.0699872999999</v>
      </c>
      <c r="G22" s="136">
        <f t="shared" si="13"/>
        <v>24355.599112599997</v>
      </c>
      <c r="H22" s="136">
        <f t="shared" si="13"/>
        <v>11161.7168552</v>
      </c>
      <c r="I22" s="136">
        <f t="shared" si="13"/>
        <v>19922.79</v>
      </c>
      <c r="J22" s="136">
        <f t="shared" si="13"/>
        <v>2772.4949999999999</v>
      </c>
      <c r="K22" s="136">
        <f t="shared" si="13"/>
        <v>33116.672257400001</v>
      </c>
      <c r="L22" s="136">
        <f t="shared" si="13"/>
        <v>14714.341310424998</v>
      </c>
      <c r="M22" s="136">
        <f t="shared" si="13"/>
        <v>15979.509999999998</v>
      </c>
      <c r="N22" s="136">
        <f t="shared" si="13"/>
        <v>3739.7149999999992</v>
      </c>
      <c r="O22" s="136">
        <f t="shared" si="13"/>
        <v>34443.0180206</v>
      </c>
      <c r="P22" s="136">
        <f t="shared" si="13"/>
        <v>6408.4627140000002</v>
      </c>
      <c r="Q22" s="136">
        <f t="shared" si="13"/>
        <v>3255.6649999999995</v>
      </c>
      <c r="R22" s="136">
        <f t="shared" si="13"/>
        <v>28034.555306599999</v>
      </c>
      <c r="S22" s="136">
        <f t="shared" si="13"/>
        <v>6191.0364921</v>
      </c>
      <c r="T22" s="136">
        <f t="shared" si="13"/>
        <v>2559.5050000000001</v>
      </c>
      <c r="U22" s="136">
        <f t="shared" si="13"/>
        <v>21843.518814499999</v>
      </c>
      <c r="V22" s="136">
        <f t="shared" si="13"/>
        <v>6497.6497882000012</v>
      </c>
      <c r="W22" s="136">
        <f t="shared" si="13"/>
        <v>2032.5849999999998</v>
      </c>
      <c r="X22" s="136">
        <f t="shared" si="13"/>
        <v>15345.869026299999</v>
      </c>
      <c r="Y22" s="123"/>
      <c r="Z22" s="113"/>
      <c r="AA22" s="113"/>
    </row>
    <row r="23" spans="1:27" ht="25.15" customHeight="1">
      <c r="A23" s="114"/>
      <c r="D23" s="137"/>
      <c r="E23" s="137"/>
      <c r="G23" s="137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</row>
    <row r="24" spans="1:27" ht="25.15" customHeight="1">
      <c r="D24" s="137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</row>
    <row r="25" spans="1:27" ht="25.15" customHeight="1"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</row>
    <row r="26" spans="1:27" ht="25.15" customHeight="1">
      <c r="G26" s="137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</row>
    <row r="27" spans="1:27" ht="25.15" customHeight="1"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</row>
    <row r="28" spans="1:27" ht="25.15" customHeight="1"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38"/>
    </row>
    <row r="29" spans="1:27" ht="25.15" customHeight="1"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</row>
    <row r="30" spans="1:27" ht="25.15" customHeight="1"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</row>
    <row r="31" spans="1:27" ht="25.15" customHeight="1"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</row>
    <row r="32" spans="1:27" ht="25.15" customHeight="1"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</row>
    <row r="33" spans="8:24" ht="25.15" customHeight="1"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</row>
    <row r="34" spans="8:24" ht="25.15" customHeight="1"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</row>
    <row r="35" spans="8:24" ht="25.15" customHeight="1"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</row>
    <row r="36" spans="8:24" ht="25.15" customHeight="1"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</row>
    <row r="37" spans="8:24" ht="25.15" customHeight="1"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</row>
    <row r="38" spans="8:24" ht="25.15" customHeight="1"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</row>
    <row r="39" spans="8:24" ht="25.15" customHeight="1"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</row>
    <row r="40" spans="8:24" ht="25.15" customHeight="1"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</row>
    <row r="41" spans="8:24" ht="25.15" customHeight="1"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</row>
    <row r="42" spans="8:24" ht="25.15" customHeight="1"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</row>
    <row r="43" spans="8:24" ht="25.15" customHeight="1"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</row>
    <row r="44" spans="8:24" ht="25.15" customHeight="1"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</row>
    <row r="45" spans="8:24" ht="25.15" customHeight="1"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38"/>
      <c r="V45" s="138"/>
      <c r="W45" s="138"/>
      <c r="X45" s="138"/>
    </row>
    <row r="46" spans="8:24" ht="25.15" customHeight="1">
      <c r="H46" s="138"/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  <c r="U46" s="138"/>
      <c r="V46" s="138"/>
      <c r="W46" s="138"/>
      <c r="X46" s="138"/>
    </row>
    <row r="47" spans="8:24" ht="25.15" customHeight="1"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</row>
    <row r="48" spans="8:24" ht="25.15" customHeight="1">
      <c r="H48" s="138"/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  <c r="U48" s="138"/>
      <c r="V48" s="138"/>
      <c r="W48" s="138"/>
      <c r="X48" s="138"/>
    </row>
    <row r="49" spans="8:24" ht="25.15" customHeight="1"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138"/>
    </row>
    <row r="50" spans="8:24" ht="25.15" customHeight="1">
      <c r="H50" s="138"/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  <c r="U50" s="138"/>
      <c r="V50" s="138"/>
      <c r="W50" s="138"/>
      <c r="X50" s="138"/>
    </row>
    <row r="51" spans="8:24" ht="25.15" customHeight="1"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</row>
    <row r="52" spans="8:24" ht="25.15" customHeight="1"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</row>
    <row r="53" spans="8:24" ht="25.15" customHeight="1"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</row>
    <row r="54" spans="8:24" ht="25.15" customHeight="1"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138"/>
    </row>
    <row r="55" spans="8:24" ht="25.15" customHeight="1">
      <c r="H55" s="138"/>
      <c r="I55" s="138"/>
      <c r="J55" s="138"/>
      <c r="K55" s="138"/>
      <c r="L55" s="138"/>
      <c r="M55" s="138"/>
      <c r="N55" s="138"/>
      <c r="O55" s="138"/>
      <c r="P55" s="138"/>
      <c r="Q55" s="138"/>
      <c r="R55" s="138"/>
      <c r="S55" s="138"/>
      <c r="T55" s="138"/>
      <c r="U55" s="138"/>
      <c r="V55" s="138"/>
      <c r="W55" s="138"/>
      <c r="X55" s="138"/>
    </row>
    <row r="56" spans="8:24" ht="25.15" customHeight="1">
      <c r="H56" s="138"/>
      <c r="I56" s="138"/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138"/>
      <c r="V56" s="138"/>
      <c r="W56" s="138"/>
      <c r="X56" s="138"/>
    </row>
    <row r="57" spans="8:24" ht="25.15" customHeight="1"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</row>
    <row r="58" spans="8:24" ht="25.15" customHeight="1">
      <c r="H58" s="138"/>
      <c r="I58" s="138"/>
      <c r="J58" s="138"/>
      <c r="K58" s="138"/>
      <c r="L58" s="138"/>
      <c r="M58" s="138"/>
      <c r="N58" s="138"/>
      <c r="O58" s="138"/>
      <c r="P58" s="138"/>
      <c r="Q58" s="138"/>
      <c r="R58" s="138"/>
      <c r="S58" s="138"/>
      <c r="T58" s="138"/>
      <c r="U58" s="138"/>
      <c r="V58" s="138"/>
      <c r="W58" s="138"/>
      <c r="X58" s="138"/>
    </row>
    <row r="59" spans="8:24" ht="25.15" customHeight="1">
      <c r="H59" s="138"/>
      <c r="I59" s="138"/>
      <c r="J59" s="138"/>
      <c r="K59" s="138"/>
      <c r="L59" s="138"/>
      <c r="M59" s="138"/>
      <c r="N59" s="138"/>
      <c r="O59" s="138"/>
      <c r="P59" s="138"/>
      <c r="Q59" s="138"/>
      <c r="R59" s="138"/>
      <c r="S59" s="138"/>
      <c r="T59" s="138"/>
      <c r="U59" s="138"/>
      <c r="V59" s="138"/>
      <c r="W59" s="138"/>
      <c r="X59" s="138"/>
    </row>
    <row r="60" spans="8:24" ht="25.15" customHeight="1">
      <c r="H60" s="138"/>
      <c r="I60" s="138"/>
      <c r="J60" s="138"/>
      <c r="K60" s="138"/>
      <c r="L60" s="138"/>
      <c r="M60" s="138"/>
      <c r="N60" s="138"/>
      <c r="O60" s="138"/>
      <c r="P60" s="138"/>
      <c r="Q60" s="138"/>
      <c r="R60" s="138"/>
      <c r="S60" s="138"/>
      <c r="T60" s="138"/>
      <c r="U60" s="138"/>
      <c r="V60" s="138"/>
      <c r="W60" s="138"/>
      <c r="X60" s="138"/>
    </row>
    <row r="61" spans="8:24" ht="25.15" customHeight="1">
      <c r="H61" s="138"/>
      <c r="I61" s="138"/>
      <c r="J61" s="138"/>
      <c r="K61" s="138"/>
      <c r="L61" s="138"/>
      <c r="M61" s="138"/>
      <c r="N61" s="138"/>
      <c r="O61" s="138"/>
      <c r="P61" s="138"/>
      <c r="Q61" s="138"/>
      <c r="R61" s="138"/>
      <c r="S61" s="138"/>
      <c r="T61" s="138"/>
      <c r="U61" s="138"/>
      <c r="V61" s="138"/>
      <c r="W61" s="138"/>
      <c r="X61" s="138"/>
    </row>
    <row r="62" spans="8:24" ht="25.15" customHeight="1">
      <c r="H62" s="138"/>
      <c r="I62" s="138"/>
      <c r="J62" s="138"/>
      <c r="K62" s="138"/>
      <c r="L62" s="138"/>
      <c r="M62" s="138"/>
      <c r="N62" s="138"/>
      <c r="O62" s="138"/>
      <c r="P62" s="138"/>
      <c r="Q62" s="138"/>
      <c r="R62" s="138"/>
      <c r="S62" s="138"/>
      <c r="T62" s="138"/>
      <c r="U62" s="138"/>
      <c r="V62" s="138"/>
      <c r="W62" s="138"/>
      <c r="X62" s="138"/>
    </row>
    <row r="63" spans="8:24" ht="25.15" customHeight="1">
      <c r="H63" s="138"/>
      <c r="I63" s="138"/>
      <c r="J63" s="138"/>
      <c r="K63" s="138"/>
      <c r="L63" s="138"/>
      <c r="M63" s="138"/>
      <c r="N63" s="138"/>
      <c r="O63" s="138"/>
      <c r="P63" s="138"/>
      <c r="Q63" s="138"/>
      <c r="R63" s="138"/>
      <c r="S63" s="138"/>
      <c r="T63" s="138"/>
      <c r="U63" s="138"/>
      <c r="V63" s="138"/>
      <c r="W63" s="138"/>
      <c r="X63" s="138"/>
    </row>
    <row r="64" spans="8:24" ht="25.15" customHeight="1">
      <c r="H64" s="138"/>
      <c r="I64" s="138"/>
      <c r="J64" s="138"/>
      <c r="K64" s="138"/>
      <c r="L64" s="138"/>
      <c r="M64" s="138"/>
      <c r="N64" s="138"/>
      <c r="O64" s="138"/>
      <c r="P64" s="138"/>
      <c r="Q64" s="138"/>
      <c r="R64" s="138"/>
      <c r="S64" s="138"/>
      <c r="T64" s="138"/>
      <c r="U64" s="138"/>
      <c r="V64" s="138"/>
      <c r="W64" s="138"/>
      <c r="X64" s="138"/>
    </row>
    <row r="65" spans="8:24" ht="25.15" customHeight="1"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</row>
    <row r="66" spans="8:24" ht="25.15" customHeight="1"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</row>
    <row r="67" spans="8:24" ht="25.15" customHeight="1"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</row>
    <row r="68" spans="8:24" ht="25.15" customHeight="1"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</row>
    <row r="69" spans="8:24" ht="25.15" customHeight="1"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</row>
    <row r="70" spans="8:24" ht="25.15" customHeight="1"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</row>
    <row r="71" spans="8:24" ht="25.15" customHeight="1"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</row>
    <row r="72" spans="8:24" ht="25.15" customHeight="1"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</row>
    <row r="73" spans="8:24" ht="25.15" customHeight="1"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</row>
    <row r="74" spans="8:24" ht="25.15" customHeight="1"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</row>
    <row r="75" spans="8:24" ht="25.15" customHeight="1"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</row>
    <row r="76" spans="8:24" ht="25.15" customHeight="1"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</row>
    <row r="77" spans="8:24" ht="25.15" customHeight="1"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</row>
    <row r="78" spans="8:24" ht="25.15" customHeight="1"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</row>
    <row r="79" spans="8:24" ht="25.15" customHeight="1">
      <c r="H79" s="138"/>
      <c r="I79" s="138"/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</row>
    <row r="80" spans="8:24" ht="25.15" customHeight="1">
      <c r="H80" s="138"/>
      <c r="I80" s="138"/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</row>
    <row r="81" spans="8:24" ht="25.15" customHeight="1">
      <c r="H81" s="138"/>
      <c r="I81" s="138"/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</row>
    <row r="82" spans="8:24" ht="25.15" customHeight="1">
      <c r="H82" s="138"/>
      <c r="I82" s="138"/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</row>
    <row r="83" spans="8:24" ht="25.15" customHeight="1">
      <c r="H83" s="138"/>
      <c r="I83" s="138"/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</row>
    <row r="84" spans="8:24" ht="25.15" customHeight="1">
      <c r="H84" s="138"/>
      <c r="I84" s="138"/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</row>
    <row r="85" spans="8:24" ht="25.15" customHeight="1"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</row>
    <row r="86" spans="8:24" ht="25.15" customHeight="1"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</row>
    <row r="87" spans="8:24" ht="25.15" customHeight="1">
      <c r="H87" s="138"/>
      <c r="I87" s="138"/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</row>
    <row r="88" spans="8:24" ht="25.15" customHeight="1">
      <c r="H88" s="138"/>
      <c r="I88" s="138"/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</row>
    <row r="89" spans="8:24" ht="25.15" customHeight="1">
      <c r="H89" s="138"/>
      <c r="I89" s="138"/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</row>
    <row r="90" spans="8:24" ht="25.15" customHeight="1">
      <c r="H90" s="138"/>
      <c r="I90" s="138"/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</row>
    <row r="91" spans="8:24" ht="25.15" customHeight="1">
      <c r="H91" s="138"/>
      <c r="I91" s="138"/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</row>
    <row r="92" spans="8:24" ht="25.15" customHeight="1">
      <c r="H92" s="138"/>
      <c r="I92" s="138"/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</row>
    <row r="93" spans="8:24" ht="25.15" customHeight="1">
      <c r="H93" s="138"/>
      <c r="I93" s="138"/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</row>
    <row r="94" spans="8:24" ht="25.15" customHeight="1">
      <c r="H94" s="138"/>
      <c r="I94" s="138"/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</row>
    <row r="95" spans="8:24" ht="25.15" customHeight="1">
      <c r="H95" s="138"/>
      <c r="I95" s="138"/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</row>
    <row r="96" spans="8:24" ht="25.15" customHeight="1">
      <c r="H96" s="138"/>
      <c r="I96" s="138"/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</row>
    <row r="97" spans="8:24" ht="25.15" customHeight="1">
      <c r="H97" s="138"/>
      <c r="I97" s="138"/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</row>
    <row r="98" spans="8:24" ht="25.15" customHeight="1">
      <c r="H98" s="138"/>
      <c r="I98" s="138"/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</row>
    <row r="99" spans="8:24" ht="25.15" customHeight="1">
      <c r="H99" s="138"/>
      <c r="I99" s="138"/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</row>
    <row r="100" spans="8:24" ht="25.15" customHeight="1">
      <c r="H100" s="138"/>
      <c r="I100" s="138"/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</row>
    <row r="101" spans="8:24" ht="25.15" customHeight="1">
      <c r="H101" s="138"/>
      <c r="I101" s="138"/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</row>
    <row r="102" spans="8:24" ht="25.15" customHeight="1">
      <c r="H102" s="138"/>
      <c r="I102" s="138"/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</row>
    <row r="103" spans="8:24" ht="25.15" customHeight="1">
      <c r="H103" s="138"/>
      <c r="I103" s="138"/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</row>
    <row r="104" spans="8:24" ht="25.15" customHeight="1">
      <c r="H104" s="138"/>
      <c r="I104" s="138"/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</row>
    <row r="105" spans="8:24" ht="25.15" customHeight="1">
      <c r="H105" s="138"/>
      <c r="I105" s="138"/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</row>
    <row r="106" spans="8:24" ht="25.15" customHeight="1">
      <c r="H106" s="138"/>
      <c r="I106" s="138"/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</row>
    <row r="107" spans="8:24" ht="25.15" customHeight="1">
      <c r="H107" s="138"/>
      <c r="I107" s="138"/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</row>
    <row r="108" spans="8:24" ht="25.15" customHeight="1">
      <c r="H108" s="138"/>
      <c r="I108" s="138"/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</row>
    <row r="109" spans="8:24" ht="25.15" customHeight="1">
      <c r="H109" s="138"/>
      <c r="I109" s="138"/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</row>
    <row r="110" spans="8:24" ht="25.15" customHeight="1">
      <c r="H110" s="138"/>
      <c r="I110" s="138"/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</row>
    <row r="111" spans="8:24" ht="25.15" customHeight="1">
      <c r="H111" s="138"/>
      <c r="I111" s="138"/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</row>
    <row r="112" spans="8:24" ht="25.15" customHeight="1">
      <c r="H112" s="138"/>
      <c r="I112" s="138"/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</row>
    <row r="113" spans="8:24" ht="25.15" customHeight="1">
      <c r="H113" s="138"/>
      <c r="I113" s="138"/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</row>
    <row r="114" spans="8:24" ht="25.15" customHeight="1">
      <c r="H114" s="138"/>
      <c r="I114" s="138"/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</row>
    <row r="115" spans="8:24" ht="25.15" customHeight="1">
      <c r="H115" s="138"/>
      <c r="I115" s="138"/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</row>
    <row r="116" spans="8:24" ht="25.15" customHeight="1">
      <c r="H116" s="138"/>
      <c r="I116" s="138"/>
      <c r="J116" s="138"/>
      <c r="K116" s="138"/>
      <c r="L116" s="138"/>
      <c r="M116" s="138"/>
      <c r="N116" s="138"/>
      <c r="O116" s="138"/>
      <c r="P116" s="138"/>
      <c r="Q116" s="138"/>
      <c r="R116" s="138"/>
      <c r="S116" s="138"/>
      <c r="T116" s="138"/>
      <c r="U116" s="138"/>
      <c r="V116" s="138"/>
      <c r="W116" s="138"/>
      <c r="X116" s="138"/>
    </row>
    <row r="117" spans="8:24" ht="25.15" customHeight="1">
      <c r="H117" s="138"/>
      <c r="I117" s="138"/>
      <c r="J117" s="138"/>
      <c r="K117" s="138"/>
      <c r="L117" s="138"/>
      <c r="M117" s="138"/>
      <c r="N117" s="138"/>
      <c r="O117" s="138"/>
      <c r="P117" s="138"/>
      <c r="Q117" s="138"/>
      <c r="R117" s="138"/>
      <c r="S117" s="138"/>
      <c r="T117" s="138"/>
      <c r="U117" s="138"/>
      <c r="V117" s="138"/>
      <c r="W117" s="138"/>
      <c r="X117" s="138"/>
    </row>
    <row r="118" spans="8:24" ht="25.15" customHeight="1">
      <c r="H118" s="138"/>
      <c r="I118" s="138"/>
      <c r="J118" s="138"/>
      <c r="K118" s="138"/>
      <c r="L118" s="138"/>
      <c r="M118" s="138"/>
      <c r="N118" s="138"/>
      <c r="O118" s="138"/>
      <c r="P118" s="138"/>
      <c r="Q118" s="138"/>
      <c r="R118" s="138"/>
      <c r="S118" s="138"/>
      <c r="T118" s="138"/>
      <c r="U118" s="138"/>
      <c r="V118" s="138"/>
      <c r="W118" s="138"/>
      <c r="X118" s="138"/>
    </row>
    <row r="119" spans="8:24" ht="25.15" customHeight="1">
      <c r="H119" s="138"/>
      <c r="I119" s="138"/>
      <c r="J119" s="138"/>
      <c r="K119" s="138"/>
      <c r="L119" s="138"/>
      <c r="M119" s="138"/>
      <c r="N119" s="138"/>
      <c r="O119" s="138"/>
      <c r="P119" s="138"/>
      <c r="Q119" s="138"/>
      <c r="R119" s="138"/>
      <c r="S119" s="138"/>
      <c r="T119" s="138"/>
      <c r="U119" s="138"/>
      <c r="V119" s="138"/>
      <c r="W119" s="138"/>
      <c r="X119" s="138"/>
    </row>
    <row r="120" spans="8:24" ht="25.15" customHeight="1">
      <c r="H120" s="138"/>
      <c r="I120" s="138"/>
      <c r="J120" s="138"/>
      <c r="K120" s="138"/>
      <c r="L120" s="138"/>
      <c r="M120" s="138"/>
      <c r="N120" s="138"/>
      <c r="O120" s="138"/>
      <c r="P120" s="138"/>
      <c r="Q120" s="138"/>
      <c r="R120" s="138"/>
      <c r="S120" s="138"/>
      <c r="T120" s="138"/>
      <c r="U120" s="138"/>
      <c r="V120" s="138"/>
      <c r="W120" s="138"/>
      <c r="X120" s="138"/>
    </row>
    <row r="121" spans="8:24" ht="25.15" customHeight="1">
      <c r="H121" s="138"/>
      <c r="I121" s="138"/>
      <c r="J121" s="138"/>
      <c r="K121" s="138"/>
      <c r="L121" s="138"/>
      <c r="M121" s="138"/>
      <c r="N121" s="138"/>
      <c r="O121" s="138"/>
      <c r="P121" s="138"/>
      <c r="Q121" s="138"/>
      <c r="R121" s="138"/>
      <c r="S121" s="138"/>
      <c r="T121" s="138"/>
      <c r="U121" s="138"/>
      <c r="V121" s="138"/>
      <c r="W121" s="138"/>
      <c r="X121" s="138"/>
    </row>
    <row r="122" spans="8:24" ht="25.15" customHeight="1">
      <c r="H122" s="138"/>
      <c r="I122" s="138"/>
      <c r="J122" s="138"/>
      <c r="K122" s="138"/>
      <c r="L122" s="138"/>
      <c r="M122" s="138"/>
      <c r="N122" s="138"/>
      <c r="O122" s="138"/>
      <c r="P122" s="138"/>
      <c r="Q122" s="138"/>
      <c r="R122" s="138"/>
      <c r="S122" s="138"/>
      <c r="T122" s="138"/>
      <c r="U122" s="138"/>
      <c r="V122" s="138"/>
      <c r="W122" s="138"/>
      <c r="X122" s="138"/>
    </row>
    <row r="123" spans="8:24" ht="25.15" customHeight="1">
      <c r="H123" s="138"/>
      <c r="I123" s="138"/>
      <c r="J123" s="138"/>
      <c r="K123" s="138"/>
      <c r="L123" s="138"/>
      <c r="M123" s="138"/>
      <c r="N123" s="138"/>
      <c r="O123" s="138"/>
      <c r="P123" s="138"/>
      <c r="Q123" s="138"/>
      <c r="R123" s="138"/>
      <c r="S123" s="138"/>
      <c r="T123" s="138"/>
      <c r="U123" s="138"/>
      <c r="V123" s="138"/>
      <c r="W123" s="138"/>
      <c r="X123" s="138"/>
    </row>
    <row r="124" spans="8:24" ht="25.15" customHeight="1">
      <c r="H124" s="138"/>
      <c r="I124" s="138"/>
      <c r="J124" s="138"/>
      <c r="K124" s="138"/>
      <c r="L124" s="138"/>
      <c r="M124" s="138"/>
      <c r="N124" s="138"/>
      <c r="O124" s="138"/>
      <c r="P124" s="138"/>
      <c r="Q124" s="138"/>
      <c r="R124" s="138"/>
      <c r="S124" s="138"/>
      <c r="T124" s="138"/>
      <c r="U124" s="138"/>
      <c r="V124" s="138"/>
      <c r="W124" s="138"/>
      <c r="X124" s="138"/>
    </row>
    <row r="125" spans="8:24" ht="25.15" customHeight="1">
      <c r="H125" s="138"/>
      <c r="I125" s="138"/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</row>
    <row r="126" spans="8:24" ht="25.15" customHeight="1">
      <c r="H126" s="138"/>
      <c r="I126" s="138"/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</row>
    <row r="127" spans="8:24" ht="25.15" customHeight="1">
      <c r="H127" s="138"/>
      <c r="I127" s="138"/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</row>
    <row r="128" spans="8:24" ht="25.15" customHeight="1">
      <c r="H128" s="138"/>
      <c r="I128" s="138"/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</row>
    <row r="129" spans="8:24" ht="25.15" customHeight="1">
      <c r="H129" s="138"/>
      <c r="I129" s="138"/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</row>
    <row r="130" spans="8:24" ht="25.15" customHeight="1">
      <c r="H130" s="138"/>
      <c r="I130" s="138"/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</row>
    <row r="131" spans="8:24" ht="25.15" customHeight="1">
      <c r="H131" s="138"/>
      <c r="I131" s="138"/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</row>
    <row r="132" spans="8:24" ht="25.15" customHeight="1">
      <c r="H132" s="138"/>
      <c r="I132" s="138"/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</row>
    <row r="133" spans="8:24" ht="25.15" customHeight="1">
      <c r="H133" s="138"/>
      <c r="I133" s="138"/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</row>
    <row r="134" spans="8:24" ht="25.15" customHeight="1">
      <c r="H134" s="138"/>
      <c r="I134" s="138"/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</row>
    <row r="135" spans="8:24" ht="25.15" customHeight="1">
      <c r="H135" s="138"/>
      <c r="I135" s="138"/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</row>
    <row r="136" spans="8:24" ht="25.15" customHeight="1">
      <c r="H136" s="138"/>
      <c r="I136" s="138"/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</row>
    <row r="137" spans="8:24" ht="25.15" customHeight="1">
      <c r="H137" s="138"/>
      <c r="I137" s="138"/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</row>
    <row r="138" spans="8:24" ht="25.15" customHeight="1">
      <c r="H138" s="138"/>
      <c r="I138" s="138"/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</row>
    <row r="139" spans="8:24" ht="25.15" customHeight="1">
      <c r="H139" s="138"/>
      <c r="I139" s="138"/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</row>
    <row r="140" spans="8:24" ht="25.15" customHeight="1">
      <c r="H140" s="138"/>
      <c r="I140" s="138"/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</row>
    <row r="141" spans="8:24" ht="25.15" customHeight="1">
      <c r="H141" s="138"/>
      <c r="I141" s="138"/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</row>
    <row r="142" spans="8:24" ht="25.15" customHeight="1">
      <c r="H142" s="138"/>
      <c r="I142" s="138"/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</row>
    <row r="143" spans="8:24" ht="25.15" customHeight="1">
      <c r="H143" s="138"/>
      <c r="I143" s="138"/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</row>
    <row r="144" spans="8:24" ht="25.15" customHeight="1">
      <c r="H144" s="138"/>
      <c r="I144" s="138"/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</row>
    <row r="145" spans="8:24" ht="25.15" customHeight="1">
      <c r="H145" s="138"/>
      <c r="I145" s="138"/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</row>
    <row r="146" spans="8:24" ht="25.15" customHeight="1">
      <c r="H146" s="138"/>
      <c r="I146" s="138"/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</row>
    <row r="147" spans="8:24" ht="25.15" customHeight="1">
      <c r="H147" s="138"/>
      <c r="I147" s="138"/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</row>
    <row r="148" spans="8:24" ht="25.15" customHeight="1">
      <c r="H148" s="138"/>
      <c r="I148" s="138"/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</row>
    <row r="149" spans="8:24" ht="25.15" customHeight="1">
      <c r="H149" s="138"/>
      <c r="I149" s="138"/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</row>
    <row r="150" spans="8:24" ht="25.15" customHeight="1">
      <c r="H150" s="138"/>
      <c r="I150" s="138"/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</row>
    <row r="151" spans="8:24" ht="25.15" customHeight="1">
      <c r="H151" s="138"/>
      <c r="I151" s="138"/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</row>
    <row r="152" spans="8:24" ht="25.15" customHeight="1">
      <c r="H152" s="138"/>
      <c r="I152" s="138"/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</row>
    <row r="153" spans="8:24" ht="25.15" customHeight="1">
      <c r="H153" s="138"/>
      <c r="I153" s="138"/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</row>
    <row r="154" spans="8:24" ht="25.15" customHeight="1">
      <c r="H154" s="138"/>
      <c r="I154" s="138"/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</row>
    <row r="155" spans="8:24" ht="25.15" customHeight="1">
      <c r="H155" s="138"/>
      <c r="I155" s="138"/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</row>
    <row r="156" spans="8:24" ht="25.15" customHeight="1">
      <c r="H156" s="138"/>
      <c r="I156" s="138"/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</row>
    <row r="157" spans="8:24" ht="25.15" customHeight="1">
      <c r="H157" s="138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</row>
    <row r="158" spans="8:24" ht="25.15" customHeight="1"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</row>
    <row r="159" spans="8:24" ht="25.15" customHeight="1">
      <c r="H159" s="138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</row>
    <row r="160" spans="8:24" ht="25.15" customHeight="1">
      <c r="H160" s="138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</row>
    <row r="161" spans="8:24" ht="25.15" customHeight="1">
      <c r="H161" s="138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</row>
    <row r="162" spans="8:24" ht="25.15" customHeight="1">
      <c r="H162" s="138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</row>
    <row r="163" spans="8:24" ht="25.15" customHeight="1">
      <c r="H163" s="138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</row>
    <row r="164" spans="8:24" ht="25.15" customHeight="1">
      <c r="H164" s="138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</row>
    <row r="165" spans="8:24" ht="25.15" customHeight="1">
      <c r="H165" s="138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</row>
    <row r="166" spans="8:24" ht="25.15" customHeight="1">
      <c r="H166" s="138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</row>
    <row r="167" spans="8:24" ht="25.15" customHeight="1">
      <c r="H167" s="138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</row>
    <row r="168" spans="8:24" ht="25.15" customHeight="1">
      <c r="H168" s="138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</row>
    <row r="169" spans="8:24" ht="25.15" customHeight="1">
      <c r="H169" s="138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</row>
    <row r="170" spans="8:24" ht="25.15" customHeight="1">
      <c r="H170" s="138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</row>
    <row r="171" spans="8:24" ht="25.15" customHeight="1">
      <c r="H171" s="138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</row>
    <row r="172" spans="8:24" ht="25.15" customHeight="1">
      <c r="H172" s="138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</row>
    <row r="173" spans="8:24" ht="25.15" customHeight="1">
      <c r="H173" s="138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</row>
    <row r="174" spans="8:24" ht="25.15" customHeight="1">
      <c r="H174" s="138"/>
      <c r="I174" s="138"/>
      <c r="J174" s="138"/>
      <c r="K174" s="138"/>
      <c r="L174" s="138"/>
      <c r="M174" s="138"/>
      <c r="N174" s="138"/>
      <c r="O174" s="138"/>
      <c r="P174" s="138"/>
      <c r="Q174" s="138"/>
      <c r="R174" s="138"/>
      <c r="S174" s="138"/>
      <c r="T174" s="138"/>
      <c r="U174" s="138"/>
      <c r="V174" s="138"/>
      <c r="W174" s="138"/>
      <c r="X174" s="138"/>
    </row>
    <row r="175" spans="8:24" ht="25.15" customHeight="1">
      <c r="H175" s="138"/>
      <c r="I175" s="138"/>
      <c r="J175" s="138"/>
      <c r="K175" s="138"/>
      <c r="L175" s="138"/>
      <c r="M175" s="138"/>
      <c r="N175" s="138"/>
      <c r="O175" s="138"/>
      <c r="P175" s="138"/>
      <c r="Q175" s="138"/>
      <c r="R175" s="138"/>
      <c r="S175" s="138"/>
      <c r="T175" s="138"/>
      <c r="U175" s="138"/>
      <c r="V175" s="138"/>
      <c r="W175" s="138"/>
      <c r="X175" s="138"/>
    </row>
    <row r="176" spans="8:24" ht="25.15" customHeight="1">
      <c r="H176" s="138"/>
      <c r="I176" s="138"/>
      <c r="J176" s="138"/>
      <c r="K176" s="138"/>
      <c r="L176" s="138"/>
      <c r="M176" s="138"/>
      <c r="N176" s="138"/>
      <c r="O176" s="138"/>
      <c r="P176" s="138"/>
      <c r="Q176" s="138"/>
      <c r="R176" s="138"/>
      <c r="S176" s="138"/>
      <c r="T176" s="138"/>
      <c r="U176" s="138"/>
      <c r="V176" s="138"/>
      <c r="W176" s="138"/>
      <c r="X176" s="138"/>
    </row>
    <row r="177" spans="8:24" ht="25.15" customHeight="1">
      <c r="H177" s="138"/>
      <c r="I177" s="138"/>
      <c r="J177" s="138"/>
      <c r="K177" s="138"/>
      <c r="L177" s="138"/>
      <c r="M177" s="138"/>
      <c r="N177" s="138"/>
      <c r="O177" s="138"/>
      <c r="P177" s="138"/>
      <c r="Q177" s="138"/>
      <c r="R177" s="138"/>
      <c r="S177" s="138"/>
      <c r="T177" s="138"/>
      <c r="U177" s="138"/>
      <c r="V177" s="138"/>
      <c r="W177" s="138"/>
      <c r="X177" s="138"/>
    </row>
    <row r="178" spans="8:24" ht="25.15" customHeight="1">
      <c r="H178" s="138"/>
      <c r="I178" s="138"/>
      <c r="J178" s="138"/>
      <c r="K178" s="138"/>
      <c r="L178" s="138"/>
      <c r="M178" s="138"/>
      <c r="N178" s="138"/>
      <c r="O178" s="138"/>
      <c r="P178" s="138"/>
      <c r="Q178" s="138"/>
      <c r="R178" s="138"/>
      <c r="S178" s="138"/>
      <c r="T178" s="138"/>
      <c r="U178" s="138"/>
      <c r="V178" s="138"/>
      <c r="W178" s="138"/>
      <c r="X178" s="138"/>
    </row>
    <row r="179" spans="8:24" ht="25.15" customHeight="1">
      <c r="H179" s="138"/>
      <c r="I179" s="138"/>
      <c r="J179" s="138"/>
      <c r="K179" s="138"/>
      <c r="L179" s="138"/>
      <c r="M179" s="138"/>
      <c r="N179" s="138"/>
      <c r="O179" s="138"/>
      <c r="P179" s="138"/>
      <c r="Q179" s="138"/>
      <c r="R179" s="138"/>
      <c r="S179" s="138"/>
      <c r="T179" s="138"/>
      <c r="U179" s="138"/>
      <c r="V179" s="138"/>
      <c r="W179" s="138"/>
      <c r="X179" s="138"/>
    </row>
    <row r="180" spans="8:24" ht="25.15" customHeight="1">
      <c r="H180" s="138"/>
      <c r="I180" s="138"/>
      <c r="J180" s="138"/>
      <c r="K180" s="138"/>
      <c r="L180" s="138"/>
      <c r="M180" s="138"/>
      <c r="N180" s="138"/>
      <c r="O180" s="138"/>
      <c r="P180" s="138"/>
      <c r="Q180" s="138"/>
      <c r="R180" s="138"/>
      <c r="S180" s="138"/>
      <c r="T180" s="138"/>
      <c r="U180" s="138"/>
      <c r="V180" s="138"/>
      <c r="W180" s="138"/>
      <c r="X180" s="138"/>
    </row>
    <row r="181" spans="8:24" ht="25.15" customHeight="1">
      <c r="H181" s="138"/>
      <c r="I181" s="138"/>
      <c r="J181" s="138"/>
      <c r="K181" s="138"/>
      <c r="L181" s="138"/>
      <c r="M181" s="138"/>
      <c r="N181" s="138"/>
      <c r="O181" s="138"/>
      <c r="P181" s="138"/>
      <c r="Q181" s="138"/>
      <c r="R181" s="138"/>
      <c r="S181" s="138"/>
      <c r="T181" s="138"/>
      <c r="U181" s="138"/>
      <c r="V181" s="138"/>
      <c r="W181" s="138"/>
      <c r="X181" s="138"/>
    </row>
    <row r="182" spans="8:24" ht="25.15" customHeight="1">
      <c r="H182" s="138"/>
      <c r="I182" s="138"/>
      <c r="J182" s="138"/>
      <c r="K182" s="138"/>
      <c r="L182" s="138"/>
      <c r="M182" s="138"/>
      <c r="N182" s="138"/>
      <c r="O182" s="138"/>
      <c r="P182" s="138"/>
      <c r="Q182" s="138"/>
      <c r="R182" s="138"/>
      <c r="S182" s="138"/>
      <c r="T182" s="138"/>
      <c r="U182" s="138"/>
      <c r="V182" s="138"/>
      <c r="W182" s="138"/>
      <c r="X182" s="138"/>
    </row>
    <row r="183" spans="8:24" ht="25.15" customHeight="1">
      <c r="H183" s="138"/>
      <c r="I183" s="138"/>
      <c r="J183" s="138"/>
      <c r="K183" s="138"/>
      <c r="L183" s="138"/>
      <c r="M183" s="138"/>
      <c r="N183" s="138"/>
      <c r="O183" s="138"/>
      <c r="P183" s="138"/>
      <c r="Q183" s="138"/>
      <c r="R183" s="138"/>
      <c r="S183" s="138"/>
      <c r="T183" s="138"/>
      <c r="U183" s="138"/>
      <c r="V183" s="138"/>
      <c r="W183" s="138"/>
      <c r="X183" s="138"/>
    </row>
    <row r="184" spans="8:24" ht="25.15" customHeight="1">
      <c r="H184" s="138"/>
      <c r="I184" s="138"/>
      <c r="J184" s="138"/>
      <c r="K184" s="138"/>
      <c r="L184" s="138"/>
      <c r="M184" s="138"/>
      <c r="N184" s="138"/>
      <c r="O184" s="138"/>
      <c r="P184" s="138"/>
      <c r="Q184" s="138"/>
      <c r="R184" s="138"/>
      <c r="S184" s="138"/>
      <c r="T184" s="138"/>
      <c r="U184" s="138"/>
      <c r="V184" s="138"/>
      <c r="W184" s="138"/>
      <c r="X184" s="138"/>
    </row>
    <row r="185" spans="8:24" ht="25.15" customHeight="1">
      <c r="H185" s="138"/>
      <c r="I185" s="138"/>
      <c r="J185" s="138"/>
      <c r="K185" s="138"/>
      <c r="L185" s="138"/>
      <c r="M185" s="138"/>
      <c r="N185" s="138"/>
      <c r="O185" s="138"/>
      <c r="P185" s="138"/>
      <c r="Q185" s="138"/>
      <c r="R185" s="138"/>
      <c r="S185" s="138"/>
      <c r="T185" s="138"/>
      <c r="U185" s="138"/>
      <c r="V185" s="138"/>
      <c r="W185" s="138"/>
      <c r="X185" s="138"/>
    </row>
    <row r="186" spans="8:24" ht="25.15" customHeight="1">
      <c r="H186" s="138"/>
      <c r="I186" s="138"/>
      <c r="J186" s="138"/>
      <c r="K186" s="138"/>
      <c r="L186" s="138"/>
      <c r="M186" s="138"/>
      <c r="N186" s="138"/>
      <c r="O186" s="138"/>
      <c r="P186" s="138"/>
      <c r="Q186" s="138"/>
      <c r="R186" s="138"/>
      <c r="S186" s="138"/>
      <c r="T186" s="138"/>
      <c r="U186" s="138"/>
      <c r="V186" s="138"/>
      <c r="W186" s="138"/>
      <c r="X186" s="138"/>
    </row>
    <row r="187" spans="8:24" ht="25.15" customHeight="1">
      <c r="H187" s="138"/>
      <c r="I187" s="138"/>
      <c r="J187" s="138"/>
      <c r="K187" s="138"/>
      <c r="L187" s="138"/>
      <c r="M187" s="138"/>
      <c r="N187" s="138"/>
      <c r="O187" s="138"/>
      <c r="P187" s="138"/>
      <c r="Q187" s="138"/>
      <c r="R187" s="138"/>
      <c r="S187" s="138"/>
      <c r="T187" s="138"/>
      <c r="U187" s="138"/>
      <c r="V187" s="138"/>
      <c r="W187" s="138"/>
      <c r="X187" s="138"/>
    </row>
    <row r="188" spans="8:24" ht="25.15" customHeight="1">
      <c r="H188" s="138"/>
      <c r="I188" s="138"/>
      <c r="J188" s="138"/>
      <c r="K188" s="138"/>
      <c r="L188" s="138"/>
      <c r="M188" s="138"/>
      <c r="N188" s="138"/>
      <c r="O188" s="138"/>
      <c r="P188" s="138"/>
      <c r="Q188" s="138"/>
      <c r="R188" s="138"/>
      <c r="S188" s="138"/>
      <c r="T188" s="138"/>
      <c r="U188" s="138"/>
      <c r="V188" s="138"/>
      <c r="W188" s="138"/>
      <c r="X188" s="138"/>
    </row>
    <row r="189" spans="8:24" ht="25.15" customHeight="1">
      <c r="H189" s="138"/>
      <c r="I189" s="138"/>
      <c r="J189" s="138"/>
      <c r="K189" s="138"/>
      <c r="L189" s="138"/>
      <c r="M189" s="138"/>
      <c r="N189" s="138"/>
      <c r="O189" s="138"/>
      <c r="P189" s="138"/>
      <c r="Q189" s="138"/>
      <c r="R189" s="138"/>
      <c r="S189" s="138"/>
      <c r="T189" s="138"/>
      <c r="U189" s="138"/>
      <c r="V189" s="138"/>
      <c r="W189" s="138"/>
      <c r="X189" s="138"/>
    </row>
    <row r="190" spans="8:24" ht="25.15" customHeight="1">
      <c r="H190" s="138"/>
      <c r="I190" s="138"/>
      <c r="J190" s="138"/>
      <c r="K190" s="138"/>
      <c r="L190" s="138"/>
      <c r="M190" s="138"/>
      <c r="N190" s="138"/>
      <c r="O190" s="138"/>
      <c r="P190" s="138"/>
      <c r="Q190" s="138"/>
      <c r="R190" s="138"/>
      <c r="S190" s="138"/>
      <c r="T190" s="138"/>
      <c r="U190" s="138"/>
      <c r="V190" s="138"/>
      <c r="W190" s="138"/>
      <c r="X190" s="138"/>
    </row>
    <row r="191" spans="8:24" ht="25.15" customHeight="1">
      <c r="H191" s="138"/>
      <c r="I191" s="138"/>
      <c r="J191" s="138"/>
      <c r="K191" s="138"/>
      <c r="L191" s="138"/>
      <c r="M191" s="138"/>
      <c r="N191" s="138"/>
      <c r="O191" s="138"/>
      <c r="P191" s="138"/>
      <c r="Q191" s="138"/>
      <c r="R191" s="138"/>
      <c r="S191" s="138"/>
      <c r="T191" s="138"/>
      <c r="U191" s="138"/>
      <c r="V191" s="138"/>
      <c r="W191" s="138"/>
      <c r="X191" s="138"/>
    </row>
    <row r="192" spans="8:24" ht="25.15" customHeight="1">
      <c r="H192" s="138"/>
      <c r="I192" s="138"/>
      <c r="J192" s="138"/>
      <c r="K192" s="138"/>
      <c r="L192" s="138"/>
      <c r="M192" s="138"/>
      <c r="N192" s="138"/>
      <c r="O192" s="138"/>
      <c r="P192" s="138"/>
      <c r="Q192" s="138"/>
      <c r="R192" s="138"/>
      <c r="S192" s="138"/>
      <c r="T192" s="138"/>
      <c r="U192" s="138"/>
      <c r="V192" s="138"/>
      <c r="W192" s="138"/>
      <c r="X192" s="138"/>
    </row>
    <row r="193" spans="8:24" ht="25.15" customHeight="1">
      <c r="H193" s="138"/>
      <c r="I193" s="138"/>
      <c r="J193" s="138"/>
      <c r="K193" s="138"/>
      <c r="L193" s="138"/>
      <c r="M193" s="138"/>
      <c r="N193" s="138"/>
      <c r="O193" s="138"/>
      <c r="P193" s="138"/>
      <c r="Q193" s="138"/>
      <c r="R193" s="138"/>
      <c r="S193" s="138"/>
      <c r="T193" s="138"/>
      <c r="U193" s="138"/>
      <c r="V193" s="138"/>
      <c r="W193" s="138"/>
      <c r="X193" s="138"/>
    </row>
    <row r="194" spans="8:24" ht="25.15" customHeight="1">
      <c r="H194" s="138"/>
      <c r="I194" s="138"/>
      <c r="J194" s="138"/>
      <c r="K194" s="138"/>
      <c r="L194" s="138"/>
      <c r="M194" s="138"/>
      <c r="N194" s="138"/>
      <c r="O194" s="138"/>
      <c r="P194" s="138"/>
      <c r="Q194" s="138"/>
      <c r="R194" s="138"/>
      <c r="S194" s="138"/>
      <c r="T194" s="138"/>
      <c r="U194" s="138"/>
      <c r="V194" s="138"/>
      <c r="W194" s="138"/>
      <c r="X194" s="138"/>
    </row>
    <row r="195" spans="8:24" ht="25.15" customHeight="1">
      <c r="H195" s="138"/>
      <c r="I195" s="138"/>
      <c r="J195" s="138"/>
      <c r="K195" s="138"/>
      <c r="L195" s="138"/>
      <c r="M195" s="138"/>
      <c r="N195" s="138"/>
      <c r="O195" s="138"/>
      <c r="P195" s="138"/>
      <c r="Q195" s="138"/>
      <c r="R195" s="138"/>
      <c r="S195" s="138"/>
      <c r="T195" s="138"/>
      <c r="U195" s="138"/>
      <c r="V195" s="138"/>
      <c r="W195" s="138"/>
      <c r="X195" s="138"/>
    </row>
    <row r="196" spans="8:24" ht="25.15" customHeight="1">
      <c r="H196" s="138"/>
      <c r="I196" s="138"/>
      <c r="J196" s="138"/>
      <c r="K196" s="138"/>
      <c r="L196" s="138"/>
      <c r="M196" s="138"/>
      <c r="N196" s="138"/>
      <c r="O196" s="138"/>
      <c r="P196" s="138"/>
      <c r="Q196" s="138"/>
      <c r="R196" s="138"/>
      <c r="S196" s="138"/>
      <c r="T196" s="138"/>
      <c r="U196" s="138"/>
      <c r="V196" s="138"/>
      <c r="W196" s="138"/>
      <c r="X196" s="138"/>
    </row>
    <row r="197" spans="8:24" ht="25.15" customHeight="1">
      <c r="H197" s="138"/>
      <c r="I197" s="138"/>
      <c r="J197" s="138"/>
      <c r="K197" s="138"/>
      <c r="L197" s="138"/>
      <c r="M197" s="138"/>
      <c r="N197" s="138"/>
      <c r="O197" s="138"/>
      <c r="P197" s="138"/>
      <c r="Q197" s="138"/>
      <c r="R197" s="138"/>
      <c r="S197" s="138"/>
      <c r="T197" s="138"/>
      <c r="U197" s="138"/>
      <c r="V197" s="138"/>
      <c r="W197" s="138"/>
      <c r="X197" s="138"/>
    </row>
    <row r="198" spans="8:24" ht="25.15" customHeight="1">
      <c r="H198" s="138"/>
      <c r="I198" s="138"/>
      <c r="J198" s="138"/>
      <c r="K198" s="138"/>
      <c r="L198" s="138"/>
      <c r="M198" s="138"/>
      <c r="N198" s="138"/>
      <c r="O198" s="138"/>
      <c r="P198" s="138"/>
      <c r="Q198" s="138"/>
      <c r="R198" s="138"/>
      <c r="S198" s="138"/>
      <c r="T198" s="138"/>
      <c r="U198" s="138"/>
      <c r="V198" s="138"/>
      <c r="W198" s="138"/>
      <c r="X198" s="138"/>
    </row>
    <row r="199" spans="8:24" ht="25.15" customHeight="1">
      <c r="H199" s="138"/>
      <c r="I199" s="138"/>
      <c r="J199" s="138"/>
      <c r="K199" s="138"/>
      <c r="L199" s="138"/>
      <c r="M199" s="138"/>
      <c r="N199" s="138"/>
      <c r="O199" s="138"/>
      <c r="P199" s="138"/>
      <c r="Q199" s="138"/>
      <c r="R199" s="138"/>
      <c r="S199" s="138"/>
      <c r="T199" s="138"/>
      <c r="U199" s="138"/>
      <c r="V199" s="138"/>
      <c r="W199" s="138"/>
      <c r="X199" s="138"/>
    </row>
    <row r="200" spans="8:24" ht="25.15" customHeight="1">
      <c r="H200" s="138"/>
      <c r="I200" s="138"/>
      <c r="J200" s="138"/>
      <c r="K200" s="138"/>
      <c r="L200" s="138"/>
      <c r="M200" s="138"/>
      <c r="N200" s="138"/>
      <c r="O200" s="138"/>
      <c r="P200" s="138"/>
      <c r="Q200" s="138"/>
      <c r="R200" s="138"/>
      <c r="S200" s="138"/>
      <c r="T200" s="138"/>
      <c r="U200" s="138"/>
      <c r="V200" s="138"/>
      <c r="W200" s="138"/>
      <c r="X200" s="138"/>
    </row>
    <row r="201" spans="8:24" ht="25.15" customHeight="1">
      <c r="H201" s="138"/>
      <c r="I201" s="138"/>
      <c r="J201" s="138"/>
      <c r="K201" s="138"/>
      <c r="L201" s="138"/>
      <c r="M201" s="138"/>
      <c r="N201" s="138"/>
      <c r="O201" s="138"/>
      <c r="P201" s="138"/>
      <c r="Q201" s="138"/>
      <c r="R201" s="138"/>
      <c r="S201" s="138"/>
      <c r="T201" s="138"/>
      <c r="U201" s="138"/>
      <c r="V201" s="138"/>
      <c r="W201" s="138"/>
      <c r="X201" s="138"/>
    </row>
    <row r="202" spans="8:24" ht="25.15" customHeight="1">
      <c r="H202" s="138"/>
      <c r="I202" s="138"/>
      <c r="J202" s="138"/>
      <c r="K202" s="138"/>
      <c r="L202" s="138"/>
      <c r="M202" s="138"/>
      <c r="N202" s="138"/>
      <c r="O202" s="138"/>
      <c r="P202" s="138"/>
      <c r="Q202" s="138"/>
      <c r="R202" s="138"/>
      <c r="S202" s="138"/>
      <c r="T202" s="138"/>
      <c r="U202" s="138"/>
      <c r="V202" s="138"/>
      <c r="W202" s="138"/>
      <c r="X202" s="138"/>
    </row>
    <row r="203" spans="8:24" ht="25.15" customHeight="1">
      <c r="H203" s="138"/>
      <c r="I203" s="138"/>
      <c r="J203" s="138"/>
      <c r="K203" s="138"/>
      <c r="L203" s="138"/>
      <c r="M203" s="138"/>
      <c r="N203" s="138"/>
      <c r="O203" s="138"/>
      <c r="P203" s="138"/>
      <c r="Q203" s="138"/>
      <c r="R203" s="138"/>
      <c r="S203" s="138"/>
      <c r="T203" s="138"/>
      <c r="U203" s="138"/>
      <c r="V203" s="138"/>
      <c r="W203" s="138"/>
      <c r="X203" s="138"/>
    </row>
    <row r="204" spans="8:24" ht="25.15" customHeight="1">
      <c r="H204" s="138"/>
      <c r="I204" s="138"/>
      <c r="J204" s="138"/>
      <c r="K204" s="138"/>
      <c r="L204" s="138"/>
      <c r="M204" s="138"/>
      <c r="N204" s="138"/>
      <c r="O204" s="138"/>
      <c r="P204" s="138"/>
      <c r="Q204" s="138"/>
      <c r="R204" s="138"/>
      <c r="S204" s="138"/>
      <c r="T204" s="138"/>
      <c r="U204" s="138"/>
      <c r="V204" s="138"/>
      <c r="W204" s="138"/>
      <c r="X204" s="138"/>
    </row>
    <row r="205" spans="8:24" ht="25.15" customHeight="1">
      <c r="H205" s="138"/>
      <c r="I205" s="138"/>
      <c r="J205" s="138"/>
      <c r="K205" s="138"/>
      <c r="L205" s="138"/>
      <c r="M205" s="138"/>
      <c r="N205" s="138"/>
      <c r="O205" s="138"/>
      <c r="P205" s="138"/>
      <c r="Q205" s="138"/>
      <c r="R205" s="138"/>
      <c r="S205" s="138"/>
      <c r="T205" s="138"/>
      <c r="U205" s="138"/>
      <c r="V205" s="138"/>
      <c r="W205" s="138"/>
      <c r="X205" s="138"/>
    </row>
    <row r="206" spans="8:24" ht="25.15" customHeight="1">
      <c r="H206" s="138"/>
      <c r="I206" s="138"/>
      <c r="J206" s="138"/>
      <c r="K206" s="138"/>
      <c r="L206" s="138"/>
      <c r="M206" s="138"/>
      <c r="N206" s="138"/>
      <c r="O206" s="138"/>
      <c r="P206" s="138"/>
      <c r="Q206" s="138"/>
      <c r="R206" s="138"/>
      <c r="S206" s="138"/>
      <c r="T206" s="138"/>
      <c r="U206" s="138"/>
      <c r="V206" s="138"/>
      <c r="W206" s="138"/>
      <c r="X206" s="138"/>
    </row>
    <row r="207" spans="8:24" ht="25.15" customHeight="1">
      <c r="H207" s="138"/>
      <c r="I207" s="138"/>
      <c r="J207" s="138"/>
      <c r="K207" s="138"/>
      <c r="L207" s="138"/>
      <c r="M207" s="138"/>
      <c r="N207" s="138"/>
      <c r="O207" s="138"/>
      <c r="P207" s="138"/>
      <c r="Q207" s="138"/>
      <c r="R207" s="138"/>
      <c r="S207" s="138"/>
      <c r="T207" s="138"/>
      <c r="U207" s="138"/>
      <c r="V207" s="138"/>
      <c r="W207" s="138"/>
      <c r="X207" s="138"/>
    </row>
    <row r="208" spans="8:24" ht="25.15" customHeight="1">
      <c r="H208" s="138"/>
      <c r="I208" s="138"/>
      <c r="J208" s="138"/>
      <c r="K208" s="138"/>
      <c r="L208" s="138"/>
      <c r="M208" s="138"/>
      <c r="N208" s="138"/>
      <c r="O208" s="138"/>
      <c r="P208" s="138"/>
      <c r="Q208" s="138"/>
      <c r="R208" s="138"/>
      <c r="S208" s="138"/>
      <c r="T208" s="138"/>
      <c r="U208" s="138"/>
      <c r="V208" s="138"/>
      <c r="W208" s="138"/>
      <c r="X208" s="138"/>
    </row>
    <row r="209" spans="8:24" ht="25.15" customHeight="1">
      <c r="H209" s="138"/>
      <c r="I209" s="138"/>
      <c r="J209" s="138"/>
      <c r="K209" s="138"/>
      <c r="L209" s="138"/>
      <c r="M209" s="138"/>
      <c r="N209" s="138"/>
      <c r="O209" s="138"/>
      <c r="P209" s="138"/>
      <c r="Q209" s="138"/>
      <c r="R209" s="138"/>
      <c r="S209" s="138"/>
      <c r="T209" s="138"/>
      <c r="U209" s="138"/>
      <c r="V209" s="138"/>
      <c r="W209" s="138"/>
      <c r="X209" s="138"/>
    </row>
    <row r="210" spans="8:24" ht="25.15" customHeight="1">
      <c r="H210" s="138"/>
      <c r="I210" s="138"/>
      <c r="J210" s="138"/>
      <c r="K210" s="138"/>
      <c r="L210" s="138"/>
      <c r="M210" s="138"/>
      <c r="N210" s="138"/>
      <c r="O210" s="138"/>
      <c r="P210" s="138"/>
      <c r="Q210" s="138"/>
      <c r="R210" s="138"/>
      <c r="S210" s="138"/>
      <c r="T210" s="138"/>
      <c r="U210" s="138"/>
      <c r="V210" s="138"/>
      <c r="W210" s="138"/>
      <c r="X210" s="138"/>
    </row>
    <row r="211" spans="8:24" ht="25.15" customHeight="1">
      <c r="H211" s="138"/>
      <c r="I211" s="138"/>
      <c r="J211" s="138"/>
      <c r="K211" s="138"/>
      <c r="L211" s="138"/>
      <c r="M211" s="138"/>
      <c r="N211" s="138"/>
      <c r="O211" s="138"/>
      <c r="P211" s="138"/>
      <c r="Q211" s="138"/>
      <c r="R211" s="138"/>
      <c r="S211" s="138"/>
      <c r="T211" s="138"/>
      <c r="U211" s="138"/>
      <c r="V211" s="138"/>
      <c r="W211" s="138"/>
      <c r="X211" s="138"/>
    </row>
    <row r="212" spans="8:24" ht="25.15" customHeight="1">
      <c r="H212" s="138"/>
      <c r="I212" s="138"/>
      <c r="J212" s="138"/>
      <c r="K212" s="138"/>
      <c r="L212" s="138"/>
      <c r="M212" s="138"/>
      <c r="N212" s="138"/>
      <c r="O212" s="138"/>
      <c r="P212" s="138"/>
      <c r="Q212" s="138"/>
      <c r="R212" s="138"/>
      <c r="S212" s="138"/>
      <c r="T212" s="138"/>
      <c r="U212" s="138"/>
      <c r="V212" s="138"/>
      <c r="W212" s="138"/>
      <c r="X212" s="138"/>
    </row>
    <row r="213" spans="8:24" ht="25.15" customHeight="1">
      <c r="H213" s="138"/>
      <c r="I213" s="138"/>
      <c r="J213" s="138"/>
      <c r="K213" s="138"/>
      <c r="L213" s="138"/>
      <c r="M213" s="138"/>
      <c r="N213" s="138"/>
      <c r="O213" s="138"/>
      <c r="P213" s="138"/>
      <c r="Q213" s="138"/>
      <c r="R213" s="138"/>
      <c r="S213" s="138"/>
      <c r="T213" s="138"/>
      <c r="U213" s="138"/>
      <c r="V213" s="138"/>
      <c r="W213" s="138"/>
      <c r="X213" s="138"/>
    </row>
  </sheetData>
  <mergeCells count="9">
    <mergeCell ref="S3:U3"/>
    <mergeCell ref="V3:X3"/>
    <mergeCell ref="Y3:Y4"/>
    <mergeCell ref="A3:A4"/>
    <mergeCell ref="B3:B4"/>
    <mergeCell ref="C3:G3"/>
    <mergeCell ref="H3:K3"/>
    <mergeCell ref="L3:O3"/>
    <mergeCell ref="P3:R3"/>
  </mergeCells>
  <printOptions horizontalCentered="1"/>
  <pageMargins left="0.51181102362204722" right="0.23622047244094491" top="0.43307086614173229" bottom="0.39370078740157483" header="0.31496062992125984" footer="0.31496062992125984"/>
  <pageSetup paperSize="5" scale="80" orientation="landscape" r:id="rId1"/>
  <colBreaks count="2" manualBreakCount="2">
    <brk id="11" max="21" man="1"/>
    <brk id="18" max="2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W50"/>
  <sheetViews>
    <sheetView topLeftCell="B26" workbookViewId="0">
      <selection activeCell="E44" sqref="E44"/>
    </sheetView>
  </sheetViews>
  <sheetFormatPr defaultRowHeight="15.75"/>
  <cols>
    <col min="1" max="1" width="3.7109375" style="150" bestFit="1" customWidth="1"/>
    <col min="2" max="2" width="5.28515625" style="192" bestFit="1" customWidth="1"/>
    <col min="3" max="3" width="44.7109375" bestFit="1" customWidth="1"/>
    <col min="4" max="4" width="11.5703125" bestFit="1" customWidth="1"/>
    <col min="5" max="5" width="10.42578125" style="194" bestFit="1" customWidth="1"/>
    <col min="6" max="6" width="10.7109375" style="194" bestFit="1" customWidth="1"/>
    <col min="7" max="7" width="14.7109375" style="194" bestFit="1" customWidth="1"/>
    <col min="8" max="8" width="11.5703125" style="194" bestFit="1" customWidth="1"/>
    <col min="9" max="11" width="11.5703125" bestFit="1" customWidth="1"/>
    <col min="12" max="12" width="10.7109375" bestFit="1" customWidth="1"/>
    <col min="13" max="13" width="11.28515625" customWidth="1"/>
    <col min="14" max="14" width="11.28515625" bestFit="1" customWidth="1"/>
    <col min="15" max="17" width="11.5703125" bestFit="1" customWidth="1"/>
    <col min="18" max="18" width="3.42578125" bestFit="1" customWidth="1"/>
    <col min="19" max="19" width="11.5703125" style="152" bestFit="1" customWidth="1"/>
    <col min="20" max="20" width="7.7109375" bestFit="1" customWidth="1"/>
    <col min="21" max="21" width="4.7109375" bestFit="1" customWidth="1"/>
    <col min="22" max="22" width="5.7109375" customWidth="1"/>
    <col min="23" max="23" width="5.28515625" bestFit="1" customWidth="1"/>
    <col min="24" max="24" width="17.42578125" bestFit="1" customWidth="1"/>
    <col min="25" max="25" width="13" bestFit="1" customWidth="1"/>
    <col min="26" max="26" width="24.5703125" bestFit="1" customWidth="1"/>
    <col min="27" max="27" width="37.42578125" bestFit="1" customWidth="1"/>
    <col min="28" max="28" width="30.7109375" bestFit="1" customWidth="1"/>
    <col min="29" max="29" width="21.28515625" bestFit="1" customWidth="1"/>
    <col min="30" max="30" width="25.5703125" bestFit="1" customWidth="1"/>
    <col min="31" max="31" width="30" bestFit="1" customWidth="1"/>
    <col min="32" max="32" width="31.28515625" bestFit="1" customWidth="1"/>
    <col min="33" max="33" width="21.7109375" bestFit="1" customWidth="1"/>
    <col min="34" max="35" width="21.28515625" bestFit="1" customWidth="1"/>
    <col min="36" max="36" width="20.28515625" bestFit="1" customWidth="1"/>
    <col min="257" max="257" width="3.7109375" bestFit="1" customWidth="1"/>
    <col min="258" max="258" width="5.28515625" bestFit="1" customWidth="1"/>
    <col min="259" max="259" width="30.28515625" bestFit="1" customWidth="1"/>
    <col min="260" max="260" width="11.5703125" bestFit="1" customWidth="1"/>
    <col min="261" max="261" width="10.42578125" bestFit="1" customWidth="1"/>
    <col min="262" max="262" width="10.7109375" bestFit="1" customWidth="1"/>
    <col min="263" max="263" width="14.7109375" bestFit="1" customWidth="1"/>
    <col min="264" max="267" width="11.5703125" bestFit="1" customWidth="1"/>
    <col min="268" max="268" width="10.7109375" bestFit="1" customWidth="1"/>
    <col min="269" max="269" width="11.28515625" customWidth="1"/>
    <col min="270" max="270" width="11.28515625" bestFit="1" customWidth="1"/>
    <col min="271" max="273" width="11.5703125" bestFit="1" customWidth="1"/>
    <col min="274" max="274" width="3.42578125" bestFit="1" customWidth="1"/>
    <col min="275" max="275" width="11.5703125" bestFit="1" customWidth="1"/>
    <col min="276" max="276" width="7.7109375" bestFit="1" customWidth="1"/>
    <col min="277" max="277" width="4.7109375" bestFit="1" customWidth="1"/>
    <col min="278" max="278" width="5.7109375" customWidth="1"/>
    <col min="279" max="279" width="5.28515625" bestFit="1" customWidth="1"/>
    <col min="280" max="280" width="17.42578125" bestFit="1" customWidth="1"/>
    <col min="281" max="281" width="13" bestFit="1" customWidth="1"/>
    <col min="282" max="282" width="24.5703125" bestFit="1" customWidth="1"/>
    <col min="283" max="283" width="37.42578125" bestFit="1" customWidth="1"/>
    <col min="284" max="284" width="30.7109375" bestFit="1" customWidth="1"/>
    <col min="285" max="285" width="21.28515625" bestFit="1" customWidth="1"/>
    <col min="286" max="286" width="25.5703125" bestFit="1" customWidth="1"/>
    <col min="287" max="287" width="30" bestFit="1" customWidth="1"/>
    <col min="288" max="288" width="31.28515625" bestFit="1" customWidth="1"/>
    <col min="289" max="289" width="21.7109375" bestFit="1" customWidth="1"/>
    <col min="290" max="291" width="21.28515625" bestFit="1" customWidth="1"/>
    <col min="292" max="292" width="20.28515625" bestFit="1" customWidth="1"/>
    <col min="513" max="513" width="3.7109375" bestFit="1" customWidth="1"/>
    <col min="514" max="514" width="5.28515625" bestFit="1" customWidth="1"/>
    <col min="515" max="515" width="30.28515625" bestFit="1" customWidth="1"/>
    <col min="516" max="516" width="11.5703125" bestFit="1" customWidth="1"/>
    <col min="517" max="517" width="10.42578125" bestFit="1" customWidth="1"/>
    <col min="518" max="518" width="10.7109375" bestFit="1" customWidth="1"/>
    <col min="519" max="519" width="14.7109375" bestFit="1" customWidth="1"/>
    <col min="520" max="523" width="11.5703125" bestFit="1" customWidth="1"/>
    <col min="524" max="524" width="10.7109375" bestFit="1" customWidth="1"/>
    <col min="525" max="525" width="11.28515625" customWidth="1"/>
    <col min="526" max="526" width="11.28515625" bestFit="1" customWidth="1"/>
    <col min="527" max="529" width="11.5703125" bestFit="1" customWidth="1"/>
    <col min="530" max="530" width="3.42578125" bestFit="1" customWidth="1"/>
    <col min="531" max="531" width="11.5703125" bestFit="1" customWidth="1"/>
    <col min="532" max="532" width="7.7109375" bestFit="1" customWidth="1"/>
    <col min="533" max="533" width="4.7109375" bestFit="1" customWidth="1"/>
    <col min="534" max="534" width="5.7109375" customWidth="1"/>
    <col min="535" max="535" width="5.28515625" bestFit="1" customWidth="1"/>
    <col min="536" max="536" width="17.42578125" bestFit="1" customWidth="1"/>
    <col min="537" max="537" width="13" bestFit="1" customWidth="1"/>
    <col min="538" max="538" width="24.5703125" bestFit="1" customWidth="1"/>
    <col min="539" max="539" width="37.42578125" bestFit="1" customWidth="1"/>
    <col min="540" max="540" width="30.7109375" bestFit="1" customWidth="1"/>
    <col min="541" max="541" width="21.28515625" bestFit="1" customWidth="1"/>
    <col min="542" max="542" width="25.5703125" bestFit="1" customWidth="1"/>
    <col min="543" max="543" width="30" bestFit="1" customWidth="1"/>
    <col min="544" max="544" width="31.28515625" bestFit="1" customWidth="1"/>
    <col min="545" max="545" width="21.7109375" bestFit="1" customWidth="1"/>
    <col min="546" max="547" width="21.28515625" bestFit="1" customWidth="1"/>
    <col min="548" max="548" width="20.28515625" bestFit="1" customWidth="1"/>
    <col min="769" max="769" width="3.7109375" bestFit="1" customWidth="1"/>
    <col min="770" max="770" width="5.28515625" bestFit="1" customWidth="1"/>
    <col min="771" max="771" width="30.28515625" bestFit="1" customWidth="1"/>
    <col min="772" max="772" width="11.5703125" bestFit="1" customWidth="1"/>
    <col min="773" max="773" width="10.42578125" bestFit="1" customWidth="1"/>
    <col min="774" max="774" width="10.7109375" bestFit="1" customWidth="1"/>
    <col min="775" max="775" width="14.7109375" bestFit="1" customWidth="1"/>
    <col min="776" max="779" width="11.5703125" bestFit="1" customWidth="1"/>
    <col min="780" max="780" width="10.7109375" bestFit="1" customWidth="1"/>
    <col min="781" max="781" width="11.28515625" customWidth="1"/>
    <col min="782" max="782" width="11.28515625" bestFit="1" customWidth="1"/>
    <col min="783" max="785" width="11.5703125" bestFit="1" customWidth="1"/>
    <col min="786" max="786" width="3.42578125" bestFit="1" customWidth="1"/>
    <col min="787" max="787" width="11.5703125" bestFit="1" customWidth="1"/>
    <col min="788" max="788" width="7.7109375" bestFit="1" customWidth="1"/>
    <col min="789" max="789" width="4.7109375" bestFit="1" customWidth="1"/>
    <col min="790" max="790" width="5.7109375" customWidth="1"/>
    <col min="791" max="791" width="5.28515625" bestFit="1" customWidth="1"/>
    <col min="792" max="792" width="17.42578125" bestFit="1" customWidth="1"/>
    <col min="793" max="793" width="13" bestFit="1" customWidth="1"/>
    <col min="794" max="794" width="24.5703125" bestFit="1" customWidth="1"/>
    <col min="795" max="795" width="37.42578125" bestFit="1" customWidth="1"/>
    <col min="796" max="796" width="30.7109375" bestFit="1" customWidth="1"/>
    <col min="797" max="797" width="21.28515625" bestFit="1" customWidth="1"/>
    <col min="798" max="798" width="25.5703125" bestFit="1" customWidth="1"/>
    <col min="799" max="799" width="30" bestFit="1" customWidth="1"/>
    <col min="800" max="800" width="31.28515625" bestFit="1" customWidth="1"/>
    <col min="801" max="801" width="21.7109375" bestFit="1" customWidth="1"/>
    <col min="802" max="803" width="21.28515625" bestFit="1" customWidth="1"/>
    <col min="804" max="804" width="20.28515625" bestFit="1" customWidth="1"/>
    <col min="1025" max="1025" width="3.7109375" bestFit="1" customWidth="1"/>
    <col min="1026" max="1026" width="5.28515625" bestFit="1" customWidth="1"/>
    <col min="1027" max="1027" width="30.28515625" bestFit="1" customWidth="1"/>
    <col min="1028" max="1028" width="11.5703125" bestFit="1" customWidth="1"/>
    <col min="1029" max="1029" width="10.42578125" bestFit="1" customWidth="1"/>
    <col min="1030" max="1030" width="10.7109375" bestFit="1" customWidth="1"/>
    <col min="1031" max="1031" width="14.7109375" bestFit="1" customWidth="1"/>
    <col min="1032" max="1035" width="11.5703125" bestFit="1" customWidth="1"/>
    <col min="1036" max="1036" width="10.7109375" bestFit="1" customWidth="1"/>
    <col min="1037" max="1037" width="11.28515625" customWidth="1"/>
    <col min="1038" max="1038" width="11.28515625" bestFit="1" customWidth="1"/>
    <col min="1039" max="1041" width="11.5703125" bestFit="1" customWidth="1"/>
    <col min="1042" max="1042" width="3.42578125" bestFit="1" customWidth="1"/>
    <col min="1043" max="1043" width="11.5703125" bestFit="1" customWidth="1"/>
    <col min="1044" max="1044" width="7.7109375" bestFit="1" customWidth="1"/>
    <col min="1045" max="1045" width="4.7109375" bestFit="1" customWidth="1"/>
    <col min="1046" max="1046" width="5.7109375" customWidth="1"/>
    <col min="1047" max="1047" width="5.28515625" bestFit="1" customWidth="1"/>
    <col min="1048" max="1048" width="17.42578125" bestFit="1" customWidth="1"/>
    <col min="1049" max="1049" width="13" bestFit="1" customWidth="1"/>
    <col min="1050" max="1050" width="24.5703125" bestFit="1" customWidth="1"/>
    <col min="1051" max="1051" width="37.42578125" bestFit="1" customWidth="1"/>
    <col min="1052" max="1052" width="30.7109375" bestFit="1" customWidth="1"/>
    <col min="1053" max="1053" width="21.28515625" bestFit="1" customWidth="1"/>
    <col min="1054" max="1054" width="25.5703125" bestFit="1" customWidth="1"/>
    <col min="1055" max="1055" width="30" bestFit="1" customWidth="1"/>
    <col min="1056" max="1056" width="31.28515625" bestFit="1" customWidth="1"/>
    <col min="1057" max="1057" width="21.7109375" bestFit="1" customWidth="1"/>
    <col min="1058" max="1059" width="21.28515625" bestFit="1" customWidth="1"/>
    <col min="1060" max="1060" width="20.28515625" bestFit="1" customWidth="1"/>
    <col min="1281" max="1281" width="3.7109375" bestFit="1" customWidth="1"/>
    <col min="1282" max="1282" width="5.28515625" bestFit="1" customWidth="1"/>
    <col min="1283" max="1283" width="30.28515625" bestFit="1" customWidth="1"/>
    <col min="1284" max="1284" width="11.5703125" bestFit="1" customWidth="1"/>
    <col min="1285" max="1285" width="10.42578125" bestFit="1" customWidth="1"/>
    <col min="1286" max="1286" width="10.7109375" bestFit="1" customWidth="1"/>
    <col min="1287" max="1287" width="14.7109375" bestFit="1" customWidth="1"/>
    <col min="1288" max="1291" width="11.5703125" bestFit="1" customWidth="1"/>
    <col min="1292" max="1292" width="10.7109375" bestFit="1" customWidth="1"/>
    <col min="1293" max="1293" width="11.28515625" customWidth="1"/>
    <col min="1294" max="1294" width="11.28515625" bestFit="1" customWidth="1"/>
    <col min="1295" max="1297" width="11.5703125" bestFit="1" customWidth="1"/>
    <col min="1298" max="1298" width="3.42578125" bestFit="1" customWidth="1"/>
    <col min="1299" max="1299" width="11.5703125" bestFit="1" customWidth="1"/>
    <col min="1300" max="1300" width="7.7109375" bestFit="1" customWidth="1"/>
    <col min="1301" max="1301" width="4.7109375" bestFit="1" customWidth="1"/>
    <col min="1302" max="1302" width="5.7109375" customWidth="1"/>
    <col min="1303" max="1303" width="5.28515625" bestFit="1" customWidth="1"/>
    <col min="1304" max="1304" width="17.42578125" bestFit="1" customWidth="1"/>
    <col min="1305" max="1305" width="13" bestFit="1" customWidth="1"/>
    <col min="1306" max="1306" width="24.5703125" bestFit="1" customWidth="1"/>
    <col min="1307" max="1307" width="37.42578125" bestFit="1" customWidth="1"/>
    <col min="1308" max="1308" width="30.7109375" bestFit="1" customWidth="1"/>
    <col min="1309" max="1309" width="21.28515625" bestFit="1" customWidth="1"/>
    <col min="1310" max="1310" width="25.5703125" bestFit="1" customWidth="1"/>
    <col min="1311" max="1311" width="30" bestFit="1" customWidth="1"/>
    <col min="1312" max="1312" width="31.28515625" bestFit="1" customWidth="1"/>
    <col min="1313" max="1313" width="21.7109375" bestFit="1" customWidth="1"/>
    <col min="1314" max="1315" width="21.28515625" bestFit="1" customWidth="1"/>
    <col min="1316" max="1316" width="20.28515625" bestFit="1" customWidth="1"/>
    <col min="1537" max="1537" width="3.7109375" bestFit="1" customWidth="1"/>
    <col min="1538" max="1538" width="5.28515625" bestFit="1" customWidth="1"/>
    <col min="1539" max="1539" width="30.28515625" bestFit="1" customWidth="1"/>
    <col min="1540" max="1540" width="11.5703125" bestFit="1" customWidth="1"/>
    <col min="1541" max="1541" width="10.42578125" bestFit="1" customWidth="1"/>
    <col min="1542" max="1542" width="10.7109375" bestFit="1" customWidth="1"/>
    <col min="1543" max="1543" width="14.7109375" bestFit="1" customWidth="1"/>
    <col min="1544" max="1547" width="11.5703125" bestFit="1" customWidth="1"/>
    <col min="1548" max="1548" width="10.7109375" bestFit="1" customWidth="1"/>
    <col min="1549" max="1549" width="11.28515625" customWidth="1"/>
    <col min="1550" max="1550" width="11.28515625" bestFit="1" customWidth="1"/>
    <col min="1551" max="1553" width="11.5703125" bestFit="1" customWidth="1"/>
    <col min="1554" max="1554" width="3.42578125" bestFit="1" customWidth="1"/>
    <col min="1555" max="1555" width="11.5703125" bestFit="1" customWidth="1"/>
    <col min="1556" max="1556" width="7.7109375" bestFit="1" customWidth="1"/>
    <col min="1557" max="1557" width="4.7109375" bestFit="1" customWidth="1"/>
    <col min="1558" max="1558" width="5.7109375" customWidth="1"/>
    <col min="1559" max="1559" width="5.28515625" bestFit="1" customWidth="1"/>
    <col min="1560" max="1560" width="17.42578125" bestFit="1" customWidth="1"/>
    <col min="1561" max="1561" width="13" bestFit="1" customWidth="1"/>
    <col min="1562" max="1562" width="24.5703125" bestFit="1" customWidth="1"/>
    <col min="1563" max="1563" width="37.42578125" bestFit="1" customWidth="1"/>
    <col min="1564" max="1564" width="30.7109375" bestFit="1" customWidth="1"/>
    <col min="1565" max="1565" width="21.28515625" bestFit="1" customWidth="1"/>
    <col min="1566" max="1566" width="25.5703125" bestFit="1" customWidth="1"/>
    <col min="1567" max="1567" width="30" bestFit="1" customWidth="1"/>
    <col min="1568" max="1568" width="31.28515625" bestFit="1" customWidth="1"/>
    <col min="1569" max="1569" width="21.7109375" bestFit="1" customWidth="1"/>
    <col min="1570" max="1571" width="21.28515625" bestFit="1" customWidth="1"/>
    <col min="1572" max="1572" width="20.28515625" bestFit="1" customWidth="1"/>
    <col min="1793" max="1793" width="3.7109375" bestFit="1" customWidth="1"/>
    <col min="1794" max="1794" width="5.28515625" bestFit="1" customWidth="1"/>
    <col min="1795" max="1795" width="30.28515625" bestFit="1" customWidth="1"/>
    <col min="1796" max="1796" width="11.5703125" bestFit="1" customWidth="1"/>
    <col min="1797" max="1797" width="10.42578125" bestFit="1" customWidth="1"/>
    <col min="1798" max="1798" width="10.7109375" bestFit="1" customWidth="1"/>
    <col min="1799" max="1799" width="14.7109375" bestFit="1" customWidth="1"/>
    <col min="1800" max="1803" width="11.5703125" bestFit="1" customWidth="1"/>
    <col min="1804" max="1804" width="10.7109375" bestFit="1" customWidth="1"/>
    <col min="1805" max="1805" width="11.28515625" customWidth="1"/>
    <col min="1806" max="1806" width="11.28515625" bestFit="1" customWidth="1"/>
    <col min="1807" max="1809" width="11.5703125" bestFit="1" customWidth="1"/>
    <col min="1810" max="1810" width="3.42578125" bestFit="1" customWidth="1"/>
    <col min="1811" max="1811" width="11.5703125" bestFit="1" customWidth="1"/>
    <col min="1812" max="1812" width="7.7109375" bestFit="1" customWidth="1"/>
    <col min="1813" max="1813" width="4.7109375" bestFit="1" customWidth="1"/>
    <col min="1814" max="1814" width="5.7109375" customWidth="1"/>
    <col min="1815" max="1815" width="5.28515625" bestFit="1" customWidth="1"/>
    <col min="1816" max="1816" width="17.42578125" bestFit="1" customWidth="1"/>
    <col min="1817" max="1817" width="13" bestFit="1" customWidth="1"/>
    <col min="1818" max="1818" width="24.5703125" bestFit="1" customWidth="1"/>
    <col min="1819" max="1819" width="37.42578125" bestFit="1" customWidth="1"/>
    <col min="1820" max="1820" width="30.7109375" bestFit="1" customWidth="1"/>
    <col min="1821" max="1821" width="21.28515625" bestFit="1" customWidth="1"/>
    <col min="1822" max="1822" width="25.5703125" bestFit="1" customWidth="1"/>
    <col min="1823" max="1823" width="30" bestFit="1" customWidth="1"/>
    <col min="1824" max="1824" width="31.28515625" bestFit="1" customWidth="1"/>
    <col min="1825" max="1825" width="21.7109375" bestFit="1" customWidth="1"/>
    <col min="1826" max="1827" width="21.28515625" bestFit="1" customWidth="1"/>
    <col min="1828" max="1828" width="20.28515625" bestFit="1" customWidth="1"/>
    <col min="2049" max="2049" width="3.7109375" bestFit="1" customWidth="1"/>
    <col min="2050" max="2050" width="5.28515625" bestFit="1" customWidth="1"/>
    <col min="2051" max="2051" width="30.28515625" bestFit="1" customWidth="1"/>
    <col min="2052" max="2052" width="11.5703125" bestFit="1" customWidth="1"/>
    <col min="2053" max="2053" width="10.42578125" bestFit="1" customWidth="1"/>
    <col min="2054" max="2054" width="10.7109375" bestFit="1" customWidth="1"/>
    <col min="2055" max="2055" width="14.7109375" bestFit="1" customWidth="1"/>
    <col min="2056" max="2059" width="11.5703125" bestFit="1" customWidth="1"/>
    <col min="2060" max="2060" width="10.7109375" bestFit="1" customWidth="1"/>
    <col min="2061" max="2061" width="11.28515625" customWidth="1"/>
    <col min="2062" max="2062" width="11.28515625" bestFit="1" customWidth="1"/>
    <col min="2063" max="2065" width="11.5703125" bestFit="1" customWidth="1"/>
    <col min="2066" max="2066" width="3.42578125" bestFit="1" customWidth="1"/>
    <col min="2067" max="2067" width="11.5703125" bestFit="1" customWidth="1"/>
    <col min="2068" max="2068" width="7.7109375" bestFit="1" customWidth="1"/>
    <col min="2069" max="2069" width="4.7109375" bestFit="1" customWidth="1"/>
    <col min="2070" max="2070" width="5.7109375" customWidth="1"/>
    <col min="2071" max="2071" width="5.28515625" bestFit="1" customWidth="1"/>
    <col min="2072" max="2072" width="17.42578125" bestFit="1" customWidth="1"/>
    <col min="2073" max="2073" width="13" bestFit="1" customWidth="1"/>
    <col min="2074" max="2074" width="24.5703125" bestFit="1" customWidth="1"/>
    <col min="2075" max="2075" width="37.42578125" bestFit="1" customWidth="1"/>
    <col min="2076" max="2076" width="30.7109375" bestFit="1" customWidth="1"/>
    <col min="2077" max="2077" width="21.28515625" bestFit="1" customWidth="1"/>
    <col min="2078" max="2078" width="25.5703125" bestFit="1" customWidth="1"/>
    <col min="2079" max="2079" width="30" bestFit="1" customWidth="1"/>
    <col min="2080" max="2080" width="31.28515625" bestFit="1" customWidth="1"/>
    <col min="2081" max="2081" width="21.7109375" bestFit="1" customWidth="1"/>
    <col min="2082" max="2083" width="21.28515625" bestFit="1" customWidth="1"/>
    <col min="2084" max="2084" width="20.28515625" bestFit="1" customWidth="1"/>
    <col min="2305" max="2305" width="3.7109375" bestFit="1" customWidth="1"/>
    <col min="2306" max="2306" width="5.28515625" bestFit="1" customWidth="1"/>
    <col min="2307" max="2307" width="30.28515625" bestFit="1" customWidth="1"/>
    <col min="2308" max="2308" width="11.5703125" bestFit="1" customWidth="1"/>
    <col min="2309" max="2309" width="10.42578125" bestFit="1" customWidth="1"/>
    <col min="2310" max="2310" width="10.7109375" bestFit="1" customWidth="1"/>
    <col min="2311" max="2311" width="14.7109375" bestFit="1" customWidth="1"/>
    <col min="2312" max="2315" width="11.5703125" bestFit="1" customWidth="1"/>
    <col min="2316" max="2316" width="10.7109375" bestFit="1" customWidth="1"/>
    <col min="2317" max="2317" width="11.28515625" customWidth="1"/>
    <col min="2318" max="2318" width="11.28515625" bestFit="1" customWidth="1"/>
    <col min="2319" max="2321" width="11.5703125" bestFit="1" customWidth="1"/>
    <col min="2322" max="2322" width="3.42578125" bestFit="1" customWidth="1"/>
    <col min="2323" max="2323" width="11.5703125" bestFit="1" customWidth="1"/>
    <col min="2324" max="2324" width="7.7109375" bestFit="1" customWidth="1"/>
    <col min="2325" max="2325" width="4.7109375" bestFit="1" customWidth="1"/>
    <col min="2326" max="2326" width="5.7109375" customWidth="1"/>
    <col min="2327" max="2327" width="5.28515625" bestFit="1" customWidth="1"/>
    <col min="2328" max="2328" width="17.42578125" bestFit="1" customWidth="1"/>
    <col min="2329" max="2329" width="13" bestFit="1" customWidth="1"/>
    <col min="2330" max="2330" width="24.5703125" bestFit="1" customWidth="1"/>
    <col min="2331" max="2331" width="37.42578125" bestFit="1" customWidth="1"/>
    <col min="2332" max="2332" width="30.7109375" bestFit="1" customWidth="1"/>
    <col min="2333" max="2333" width="21.28515625" bestFit="1" customWidth="1"/>
    <col min="2334" max="2334" width="25.5703125" bestFit="1" customWidth="1"/>
    <col min="2335" max="2335" width="30" bestFit="1" customWidth="1"/>
    <col min="2336" max="2336" width="31.28515625" bestFit="1" customWidth="1"/>
    <col min="2337" max="2337" width="21.7109375" bestFit="1" customWidth="1"/>
    <col min="2338" max="2339" width="21.28515625" bestFit="1" customWidth="1"/>
    <col min="2340" max="2340" width="20.28515625" bestFit="1" customWidth="1"/>
    <col min="2561" max="2561" width="3.7109375" bestFit="1" customWidth="1"/>
    <col min="2562" max="2562" width="5.28515625" bestFit="1" customWidth="1"/>
    <col min="2563" max="2563" width="30.28515625" bestFit="1" customWidth="1"/>
    <col min="2564" max="2564" width="11.5703125" bestFit="1" customWidth="1"/>
    <col min="2565" max="2565" width="10.42578125" bestFit="1" customWidth="1"/>
    <col min="2566" max="2566" width="10.7109375" bestFit="1" customWidth="1"/>
    <col min="2567" max="2567" width="14.7109375" bestFit="1" customWidth="1"/>
    <col min="2568" max="2571" width="11.5703125" bestFit="1" customWidth="1"/>
    <col min="2572" max="2572" width="10.7109375" bestFit="1" customWidth="1"/>
    <col min="2573" max="2573" width="11.28515625" customWidth="1"/>
    <col min="2574" max="2574" width="11.28515625" bestFit="1" customWidth="1"/>
    <col min="2575" max="2577" width="11.5703125" bestFit="1" customWidth="1"/>
    <col min="2578" max="2578" width="3.42578125" bestFit="1" customWidth="1"/>
    <col min="2579" max="2579" width="11.5703125" bestFit="1" customWidth="1"/>
    <col min="2580" max="2580" width="7.7109375" bestFit="1" customWidth="1"/>
    <col min="2581" max="2581" width="4.7109375" bestFit="1" customWidth="1"/>
    <col min="2582" max="2582" width="5.7109375" customWidth="1"/>
    <col min="2583" max="2583" width="5.28515625" bestFit="1" customWidth="1"/>
    <col min="2584" max="2584" width="17.42578125" bestFit="1" customWidth="1"/>
    <col min="2585" max="2585" width="13" bestFit="1" customWidth="1"/>
    <col min="2586" max="2586" width="24.5703125" bestFit="1" customWidth="1"/>
    <col min="2587" max="2587" width="37.42578125" bestFit="1" customWidth="1"/>
    <col min="2588" max="2588" width="30.7109375" bestFit="1" customWidth="1"/>
    <col min="2589" max="2589" width="21.28515625" bestFit="1" customWidth="1"/>
    <col min="2590" max="2590" width="25.5703125" bestFit="1" customWidth="1"/>
    <col min="2591" max="2591" width="30" bestFit="1" customWidth="1"/>
    <col min="2592" max="2592" width="31.28515625" bestFit="1" customWidth="1"/>
    <col min="2593" max="2593" width="21.7109375" bestFit="1" customWidth="1"/>
    <col min="2594" max="2595" width="21.28515625" bestFit="1" customWidth="1"/>
    <col min="2596" max="2596" width="20.28515625" bestFit="1" customWidth="1"/>
    <col min="2817" max="2817" width="3.7109375" bestFit="1" customWidth="1"/>
    <col min="2818" max="2818" width="5.28515625" bestFit="1" customWidth="1"/>
    <col min="2819" max="2819" width="30.28515625" bestFit="1" customWidth="1"/>
    <col min="2820" max="2820" width="11.5703125" bestFit="1" customWidth="1"/>
    <col min="2821" max="2821" width="10.42578125" bestFit="1" customWidth="1"/>
    <col min="2822" max="2822" width="10.7109375" bestFit="1" customWidth="1"/>
    <col min="2823" max="2823" width="14.7109375" bestFit="1" customWidth="1"/>
    <col min="2824" max="2827" width="11.5703125" bestFit="1" customWidth="1"/>
    <col min="2828" max="2828" width="10.7109375" bestFit="1" customWidth="1"/>
    <col min="2829" max="2829" width="11.28515625" customWidth="1"/>
    <col min="2830" max="2830" width="11.28515625" bestFit="1" customWidth="1"/>
    <col min="2831" max="2833" width="11.5703125" bestFit="1" customWidth="1"/>
    <col min="2834" max="2834" width="3.42578125" bestFit="1" customWidth="1"/>
    <col min="2835" max="2835" width="11.5703125" bestFit="1" customWidth="1"/>
    <col min="2836" max="2836" width="7.7109375" bestFit="1" customWidth="1"/>
    <col min="2837" max="2837" width="4.7109375" bestFit="1" customWidth="1"/>
    <col min="2838" max="2838" width="5.7109375" customWidth="1"/>
    <col min="2839" max="2839" width="5.28515625" bestFit="1" customWidth="1"/>
    <col min="2840" max="2840" width="17.42578125" bestFit="1" customWidth="1"/>
    <col min="2841" max="2841" width="13" bestFit="1" customWidth="1"/>
    <col min="2842" max="2842" width="24.5703125" bestFit="1" customWidth="1"/>
    <col min="2843" max="2843" width="37.42578125" bestFit="1" customWidth="1"/>
    <col min="2844" max="2844" width="30.7109375" bestFit="1" customWidth="1"/>
    <col min="2845" max="2845" width="21.28515625" bestFit="1" customWidth="1"/>
    <col min="2846" max="2846" width="25.5703125" bestFit="1" customWidth="1"/>
    <col min="2847" max="2847" width="30" bestFit="1" customWidth="1"/>
    <col min="2848" max="2848" width="31.28515625" bestFit="1" customWidth="1"/>
    <col min="2849" max="2849" width="21.7109375" bestFit="1" customWidth="1"/>
    <col min="2850" max="2851" width="21.28515625" bestFit="1" customWidth="1"/>
    <col min="2852" max="2852" width="20.28515625" bestFit="1" customWidth="1"/>
    <col min="3073" max="3073" width="3.7109375" bestFit="1" customWidth="1"/>
    <col min="3074" max="3074" width="5.28515625" bestFit="1" customWidth="1"/>
    <col min="3075" max="3075" width="30.28515625" bestFit="1" customWidth="1"/>
    <col min="3076" max="3076" width="11.5703125" bestFit="1" customWidth="1"/>
    <col min="3077" max="3077" width="10.42578125" bestFit="1" customWidth="1"/>
    <col min="3078" max="3078" width="10.7109375" bestFit="1" customWidth="1"/>
    <col min="3079" max="3079" width="14.7109375" bestFit="1" customWidth="1"/>
    <col min="3080" max="3083" width="11.5703125" bestFit="1" customWidth="1"/>
    <col min="3084" max="3084" width="10.7109375" bestFit="1" customWidth="1"/>
    <col min="3085" max="3085" width="11.28515625" customWidth="1"/>
    <col min="3086" max="3086" width="11.28515625" bestFit="1" customWidth="1"/>
    <col min="3087" max="3089" width="11.5703125" bestFit="1" customWidth="1"/>
    <col min="3090" max="3090" width="3.42578125" bestFit="1" customWidth="1"/>
    <col min="3091" max="3091" width="11.5703125" bestFit="1" customWidth="1"/>
    <col min="3092" max="3092" width="7.7109375" bestFit="1" customWidth="1"/>
    <col min="3093" max="3093" width="4.7109375" bestFit="1" customWidth="1"/>
    <col min="3094" max="3094" width="5.7109375" customWidth="1"/>
    <col min="3095" max="3095" width="5.28515625" bestFit="1" customWidth="1"/>
    <col min="3096" max="3096" width="17.42578125" bestFit="1" customWidth="1"/>
    <col min="3097" max="3097" width="13" bestFit="1" customWidth="1"/>
    <col min="3098" max="3098" width="24.5703125" bestFit="1" customWidth="1"/>
    <col min="3099" max="3099" width="37.42578125" bestFit="1" customWidth="1"/>
    <col min="3100" max="3100" width="30.7109375" bestFit="1" customWidth="1"/>
    <col min="3101" max="3101" width="21.28515625" bestFit="1" customWidth="1"/>
    <col min="3102" max="3102" width="25.5703125" bestFit="1" customWidth="1"/>
    <col min="3103" max="3103" width="30" bestFit="1" customWidth="1"/>
    <col min="3104" max="3104" width="31.28515625" bestFit="1" customWidth="1"/>
    <col min="3105" max="3105" width="21.7109375" bestFit="1" customWidth="1"/>
    <col min="3106" max="3107" width="21.28515625" bestFit="1" customWidth="1"/>
    <col min="3108" max="3108" width="20.28515625" bestFit="1" customWidth="1"/>
    <col min="3329" max="3329" width="3.7109375" bestFit="1" customWidth="1"/>
    <col min="3330" max="3330" width="5.28515625" bestFit="1" customWidth="1"/>
    <col min="3331" max="3331" width="30.28515625" bestFit="1" customWidth="1"/>
    <col min="3332" max="3332" width="11.5703125" bestFit="1" customWidth="1"/>
    <col min="3333" max="3333" width="10.42578125" bestFit="1" customWidth="1"/>
    <col min="3334" max="3334" width="10.7109375" bestFit="1" customWidth="1"/>
    <col min="3335" max="3335" width="14.7109375" bestFit="1" customWidth="1"/>
    <col min="3336" max="3339" width="11.5703125" bestFit="1" customWidth="1"/>
    <col min="3340" max="3340" width="10.7109375" bestFit="1" customWidth="1"/>
    <col min="3341" max="3341" width="11.28515625" customWidth="1"/>
    <col min="3342" max="3342" width="11.28515625" bestFit="1" customWidth="1"/>
    <col min="3343" max="3345" width="11.5703125" bestFit="1" customWidth="1"/>
    <col min="3346" max="3346" width="3.42578125" bestFit="1" customWidth="1"/>
    <col min="3347" max="3347" width="11.5703125" bestFit="1" customWidth="1"/>
    <col min="3348" max="3348" width="7.7109375" bestFit="1" customWidth="1"/>
    <col min="3349" max="3349" width="4.7109375" bestFit="1" customWidth="1"/>
    <col min="3350" max="3350" width="5.7109375" customWidth="1"/>
    <col min="3351" max="3351" width="5.28515625" bestFit="1" customWidth="1"/>
    <col min="3352" max="3352" width="17.42578125" bestFit="1" customWidth="1"/>
    <col min="3353" max="3353" width="13" bestFit="1" customWidth="1"/>
    <col min="3354" max="3354" width="24.5703125" bestFit="1" customWidth="1"/>
    <col min="3355" max="3355" width="37.42578125" bestFit="1" customWidth="1"/>
    <col min="3356" max="3356" width="30.7109375" bestFit="1" customWidth="1"/>
    <col min="3357" max="3357" width="21.28515625" bestFit="1" customWidth="1"/>
    <col min="3358" max="3358" width="25.5703125" bestFit="1" customWidth="1"/>
    <col min="3359" max="3359" width="30" bestFit="1" customWidth="1"/>
    <col min="3360" max="3360" width="31.28515625" bestFit="1" customWidth="1"/>
    <col min="3361" max="3361" width="21.7109375" bestFit="1" customWidth="1"/>
    <col min="3362" max="3363" width="21.28515625" bestFit="1" customWidth="1"/>
    <col min="3364" max="3364" width="20.28515625" bestFit="1" customWidth="1"/>
    <col min="3585" max="3585" width="3.7109375" bestFit="1" customWidth="1"/>
    <col min="3586" max="3586" width="5.28515625" bestFit="1" customWidth="1"/>
    <col min="3587" max="3587" width="30.28515625" bestFit="1" customWidth="1"/>
    <col min="3588" max="3588" width="11.5703125" bestFit="1" customWidth="1"/>
    <col min="3589" max="3589" width="10.42578125" bestFit="1" customWidth="1"/>
    <col min="3590" max="3590" width="10.7109375" bestFit="1" customWidth="1"/>
    <col min="3591" max="3591" width="14.7109375" bestFit="1" customWidth="1"/>
    <col min="3592" max="3595" width="11.5703125" bestFit="1" customWidth="1"/>
    <col min="3596" max="3596" width="10.7109375" bestFit="1" customWidth="1"/>
    <col min="3597" max="3597" width="11.28515625" customWidth="1"/>
    <col min="3598" max="3598" width="11.28515625" bestFit="1" customWidth="1"/>
    <col min="3599" max="3601" width="11.5703125" bestFit="1" customWidth="1"/>
    <col min="3602" max="3602" width="3.42578125" bestFit="1" customWidth="1"/>
    <col min="3603" max="3603" width="11.5703125" bestFit="1" customWidth="1"/>
    <col min="3604" max="3604" width="7.7109375" bestFit="1" customWidth="1"/>
    <col min="3605" max="3605" width="4.7109375" bestFit="1" customWidth="1"/>
    <col min="3606" max="3606" width="5.7109375" customWidth="1"/>
    <col min="3607" max="3607" width="5.28515625" bestFit="1" customWidth="1"/>
    <col min="3608" max="3608" width="17.42578125" bestFit="1" customWidth="1"/>
    <col min="3609" max="3609" width="13" bestFit="1" customWidth="1"/>
    <col min="3610" max="3610" width="24.5703125" bestFit="1" customWidth="1"/>
    <col min="3611" max="3611" width="37.42578125" bestFit="1" customWidth="1"/>
    <col min="3612" max="3612" width="30.7109375" bestFit="1" customWidth="1"/>
    <col min="3613" max="3613" width="21.28515625" bestFit="1" customWidth="1"/>
    <col min="3614" max="3614" width="25.5703125" bestFit="1" customWidth="1"/>
    <col min="3615" max="3615" width="30" bestFit="1" customWidth="1"/>
    <col min="3616" max="3616" width="31.28515625" bestFit="1" customWidth="1"/>
    <col min="3617" max="3617" width="21.7109375" bestFit="1" customWidth="1"/>
    <col min="3618" max="3619" width="21.28515625" bestFit="1" customWidth="1"/>
    <col min="3620" max="3620" width="20.28515625" bestFit="1" customWidth="1"/>
    <col min="3841" max="3841" width="3.7109375" bestFit="1" customWidth="1"/>
    <col min="3842" max="3842" width="5.28515625" bestFit="1" customWidth="1"/>
    <col min="3843" max="3843" width="30.28515625" bestFit="1" customWidth="1"/>
    <col min="3844" max="3844" width="11.5703125" bestFit="1" customWidth="1"/>
    <col min="3845" max="3845" width="10.42578125" bestFit="1" customWidth="1"/>
    <col min="3846" max="3846" width="10.7109375" bestFit="1" customWidth="1"/>
    <col min="3847" max="3847" width="14.7109375" bestFit="1" customWidth="1"/>
    <col min="3848" max="3851" width="11.5703125" bestFit="1" customWidth="1"/>
    <col min="3852" max="3852" width="10.7109375" bestFit="1" customWidth="1"/>
    <col min="3853" max="3853" width="11.28515625" customWidth="1"/>
    <col min="3854" max="3854" width="11.28515625" bestFit="1" customWidth="1"/>
    <col min="3855" max="3857" width="11.5703125" bestFit="1" customWidth="1"/>
    <col min="3858" max="3858" width="3.42578125" bestFit="1" customWidth="1"/>
    <col min="3859" max="3859" width="11.5703125" bestFit="1" customWidth="1"/>
    <col min="3860" max="3860" width="7.7109375" bestFit="1" customWidth="1"/>
    <col min="3861" max="3861" width="4.7109375" bestFit="1" customWidth="1"/>
    <col min="3862" max="3862" width="5.7109375" customWidth="1"/>
    <col min="3863" max="3863" width="5.28515625" bestFit="1" customWidth="1"/>
    <col min="3864" max="3864" width="17.42578125" bestFit="1" customWidth="1"/>
    <col min="3865" max="3865" width="13" bestFit="1" customWidth="1"/>
    <col min="3866" max="3866" width="24.5703125" bestFit="1" customWidth="1"/>
    <col min="3867" max="3867" width="37.42578125" bestFit="1" customWidth="1"/>
    <col min="3868" max="3868" width="30.7109375" bestFit="1" customWidth="1"/>
    <col min="3869" max="3869" width="21.28515625" bestFit="1" customWidth="1"/>
    <col min="3870" max="3870" width="25.5703125" bestFit="1" customWidth="1"/>
    <col min="3871" max="3871" width="30" bestFit="1" customWidth="1"/>
    <col min="3872" max="3872" width="31.28515625" bestFit="1" customWidth="1"/>
    <col min="3873" max="3873" width="21.7109375" bestFit="1" customWidth="1"/>
    <col min="3874" max="3875" width="21.28515625" bestFit="1" customWidth="1"/>
    <col min="3876" max="3876" width="20.28515625" bestFit="1" customWidth="1"/>
    <col min="4097" max="4097" width="3.7109375" bestFit="1" customWidth="1"/>
    <col min="4098" max="4098" width="5.28515625" bestFit="1" customWidth="1"/>
    <col min="4099" max="4099" width="30.28515625" bestFit="1" customWidth="1"/>
    <col min="4100" max="4100" width="11.5703125" bestFit="1" customWidth="1"/>
    <col min="4101" max="4101" width="10.42578125" bestFit="1" customWidth="1"/>
    <col min="4102" max="4102" width="10.7109375" bestFit="1" customWidth="1"/>
    <col min="4103" max="4103" width="14.7109375" bestFit="1" customWidth="1"/>
    <col min="4104" max="4107" width="11.5703125" bestFit="1" customWidth="1"/>
    <col min="4108" max="4108" width="10.7109375" bestFit="1" customWidth="1"/>
    <col min="4109" max="4109" width="11.28515625" customWidth="1"/>
    <col min="4110" max="4110" width="11.28515625" bestFit="1" customWidth="1"/>
    <col min="4111" max="4113" width="11.5703125" bestFit="1" customWidth="1"/>
    <col min="4114" max="4114" width="3.42578125" bestFit="1" customWidth="1"/>
    <col min="4115" max="4115" width="11.5703125" bestFit="1" customWidth="1"/>
    <col min="4116" max="4116" width="7.7109375" bestFit="1" customWidth="1"/>
    <col min="4117" max="4117" width="4.7109375" bestFit="1" customWidth="1"/>
    <col min="4118" max="4118" width="5.7109375" customWidth="1"/>
    <col min="4119" max="4119" width="5.28515625" bestFit="1" customWidth="1"/>
    <col min="4120" max="4120" width="17.42578125" bestFit="1" customWidth="1"/>
    <col min="4121" max="4121" width="13" bestFit="1" customWidth="1"/>
    <col min="4122" max="4122" width="24.5703125" bestFit="1" customWidth="1"/>
    <col min="4123" max="4123" width="37.42578125" bestFit="1" customWidth="1"/>
    <col min="4124" max="4124" width="30.7109375" bestFit="1" customWidth="1"/>
    <col min="4125" max="4125" width="21.28515625" bestFit="1" customWidth="1"/>
    <col min="4126" max="4126" width="25.5703125" bestFit="1" customWidth="1"/>
    <col min="4127" max="4127" width="30" bestFit="1" customWidth="1"/>
    <col min="4128" max="4128" width="31.28515625" bestFit="1" customWidth="1"/>
    <col min="4129" max="4129" width="21.7109375" bestFit="1" customWidth="1"/>
    <col min="4130" max="4131" width="21.28515625" bestFit="1" customWidth="1"/>
    <col min="4132" max="4132" width="20.28515625" bestFit="1" customWidth="1"/>
    <col min="4353" max="4353" width="3.7109375" bestFit="1" customWidth="1"/>
    <col min="4354" max="4354" width="5.28515625" bestFit="1" customWidth="1"/>
    <col min="4355" max="4355" width="30.28515625" bestFit="1" customWidth="1"/>
    <col min="4356" max="4356" width="11.5703125" bestFit="1" customWidth="1"/>
    <col min="4357" max="4357" width="10.42578125" bestFit="1" customWidth="1"/>
    <col min="4358" max="4358" width="10.7109375" bestFit="1" customWidth="1"/>
    <col min="4359" max="4359" width="14.7109375" bestFit="1" customWidth="1"/>
    <col min="4360" max="4363" width="11.5703125" bestFit="1" customWidth="1"/>
    <col min="4364" max="4364" width="10.7109375" bestFit="1" customWidth="1"/>
    <col min="4365" max="4365" width="11.28515625" customWidth="1"/>
    <col min="4366" max="4366" width="11.28515625" bestFit="1" customWidth="1"/>
    <col min="4367" max="4369" width="11.5703125" bestFit="1" customWidth="1"/>
    <col min="4370" max="4370" width="3.42578125" bestFit="1" customWidth="1"/>
    <col min="4371" max="4371" width="11.5703125" bestFit="1" customWidth="1"/>
    <col min="4372" max="4372" width="7.7109375" bestFit="1" customWidth="1"/>
    <col min="4373" max="4373" width="4.7109375" bestFit="1" customWidth="1"/>
    <col min="4374" max="4374" width="5.7109375" customWidth="1"/>
    <col min="4375" max="4375" width="5.28515625" bestFit="1" customWidth="1"/>
    <col min="4376" max="4376" width="17.42578125" bestFit="1" customWidth="1"/>
    <col min="4377" max="4377" width="13" bestFit="1" customWidth="1"/>
    <col min="4378" max="4378" width="24.5703125" bestFit="1" customWidth="1"/>
    <col min="4379" max="4379" width="37.42578125" bestFit="1" customWidth="1"/>
    <col min="4380" max="4380" width="30.7109375" bestFit="1" customWidth="1"/>
    <col min="4381" max="4381" width="21.28515625" bestFit="1" customWidth="1"/>
    <col min="4382" max="4382" width="25.5703125" bestFit="1" customWidth="1"/>
    <col min="4383" max="4383" width="30" bestFit="1" customWidth="1"/>
    <col min="4384" max="4384" width="31.28515625" bestFit="1" customWidth="1"/>
    <col min="4385" max="4385" width="21.7109375" bestFit="1" customWidth="1"/>
    <col min="4386" max="4387" width="21.28515625" bestFit="1" customWidth="1"/>
    <col min="4388" max="4388" width="20.28515625" bestFit="1" customWidth="1"/>
    <col min="4609" max="4609" width="3.7109375" bestFit="1" customWidth="1"/>
    <col min="4610" max="4610" width="5.28515625" bestFit="1" customWidth="1"/>
    <col min="4611" max="4611" width="30.28515625" bestFit="1" customWidth="1"/>
    <col min="4612" max="4612" width="11.5703125" bestFit="1" customWidth="1"/>
    <col min="4613" max="4613" width="10.42578125" bestFit="1" customWidth="1"/>
    <col min="4614" max="4614" width="10.7109375" bestFit="1" customWidth="1"/>
    <col min="4615" max="4615" width="14.7109375" bestFit="1" customWidth="1"/>
    <col min="4616" max="4619" width="11.5703125" bestFit="1" customWidth="1"/>
    <col min="4620" max="4620" width="10.7109375" bestFit="1" customWidth="1"/>
    <col min="4621" max="4621" width="11.28515625" customWidth="1"/>
    <col min="4622" max="4622" width="11.28515625" bestFit="1" customWidth="1"/>
    <col min="4623" max="4625" width="11.5703125" bestFit="1" customWidth="1"/>
    <col min="4626" max="4626" width="3.42578125" bestFit="1" customWidth="1"/>
    <col min="4627" max="4627" width="11.5703125" bestFit="1" customWidth="1"/>
    <col min="4628" max="4628" width="7.7109375" bestFit="1" customWidth="1"/>
    <col min="4629" max="4629" width="4.7109375" bestFit="1" customWidth="1"/>
    <col min="4630" max="4630" width="5.7109375" customWidth="1"/>
    <col min="4631" max="4631" width="5.28515625" bestFit="1" customWidth="1"/>
    <col min="4632" max="4632" width="17.42578125" bestFit="1" customWidth="1"/>
    <col min="4633" max="4633" width="13" bestFit="1" customWidth="1"/>
    <col min="4634" max="4634" width="24.5703125" bestFit="1" customWidth="1"/>
    <col min="4635" max="4635" width="37.42578125" bestFit="1" customWidth="1"/>
    <col min="4636" max="4636" width="30.7109375" bestFit="1" customWidth="1"/>
    <col min="4637" max="4637" width="21.28515625" bestFit="1" customWidth="1"/>
    <col min="4638" max="4638" width="25.5703125" bestFit="1" customWidth="1"/>
    <col min="4639" max="4639" width="30" bestFit="1" customWidth="1"/>
    <col min="4640" max="4640" width="31.28515625" bestFit="1" customWidth="1"/>
    <col min="4641" max="4641" width="21.7109375" bestFit="1" customWidth="1"/>
    <col min="4642" max="4643" width="21.28515625" bestFit="1" customWidth="1"/>
    <col min="4644" max="4644" width="20.28515625" bestFit="1" customWidth="1"/>
    <col min="4865" max="4865" width="3.7109375" bestFit="1" customWidth="1"/>
    <col min="4866" max="4866" width="5.28515625" bestFit="1" customWidth="1"/>
    <col min="4867" max="4867" width="30.28515625" bestFit="1" customWidth="1"/>
    <col min="4868" max="4868" width="11.5703125" bestFit="1" customWidth="1"/>
    <col min="4869" max="4869" width="10.42578125" bestFit="1" customWidth="1"/>
    <col min="4870" max="4870" width="10.7109375" bestFit="1" customWidth="1"/>
    <col min="4871" max="4871" width="14.7109375" bestFit="1" customWidth="1"/>
    <col min="4872" max="4875" width="11.5703125" bestFit="1" customWidth="1"/>
    <col min="4876" max="4876" width="10.7109375" bestFit="1" customWidth="1"/>
    <col min="4877" max="4877" width="11.28515625" customWidth="1"/>
    <col min="4878" max="4878" width="11.28515625" bestFit="1" customWidth="1"/>
    <col min="4879" max="4881" width="11.5703125" bestFit="1" customWidth="1"/>
    <col min="4882" max="4882" width="3.42578125" bestFit="1" customWidth="1"/>
    <col min="4883" max="4883" width="11.5703125" bestFit="1" customWidth="1"/>
    <col min="4884" max="4884" width="7.7109375" bestFit="1" customWidth="1"/>
    <col min="4885" max="4885" width="4.7109375" bestFit="1" customWidth="1"/>
    <col min="4886" max="4886" width="5.7109375" customWidth="1"/>
    <col min="4887" max="4887" width="5.28515625" bestFit="1" customWidth="1"/>
    <col min="4888" max="4888" width="17.42578125" bestFit="1" customWidth="1"/>
    <col min="4889" max="4889" width="13" bestFit="1" customWidth="1"/>
    <col min="4890" max="4890" width="24.5703125" bestFit="1" customWidth="1"/>
    <col min="4891" max="4891" width="37.42578125" bestFit="1" customWidth="1"/>
    <col min="4892" max="4892" width="30.7109375" bestFit="1" customWidth="1"/>
    <col min="4893" max="4893" width="21.28515625" bestFit="1" customWidth="1"/>
    <col min="4894" max="4894" width="25.5703125" bestFit="1" customWidth="1"/>
    <col min="4895" max="4895" width="30" bestFit="1" customWidth="1"/>
    <col min="4896" max="4896" width="31.28515625" bestFit="1" customWidth="1"/>
    <col min="4897" max="4897" width="21.7109375" bestFit="1" customWidth="1"/>
    <col min="4898" max="4899" width="21.28515625" bestFit="1" customWidth="1"/>
    <col min="4900" max="4900" width="20.28515625" bestFit="1" customWidth="1"/>
    <col min="5121" max="5121" width="3.7109375" bestFit="1" customWidth="1"/>
    <col min="5122" max="5122" width="5.28515625" bestFit="1" customWidth="1"/>
    <col min="5123" max="5123" width="30.28515625" bestFit="1" customWidth="1"/>
    <col min="5124" max="5124" width="11.5703125" bestFit="1" customWidth="1"/>
    <col min="5125" max="5125" width="10.42578125" bestFit="1" customWidth="1"/>
    <col min="5126" max="5126" width="10.7109375" bestFit="1" customWidth="1"/>
    <col min="5127" max="5127" width="14.7109375" bestFit="1" customWidth="1"/>
    <col min="5128" max="5131" width="11.5703125" bestFit="1" customWidth="1"/>
    <col min="5132" max="5132" width="10.7109375" bestFit="1" customWidth="1"/>
    <col min="5133" max="5133" width="11.28515625" customWidth="1"/>
    <col min="5134" max="5134" width="11.28515625" bestFit="1" customWidth="1"/>
    <col min="5135" max="5137" width="11.5703125" bestFit="1" customWidth="1"/>
    <col min="5138" max="5138" width="3.42578125" bestFit="1" customWidth="1"/>
    <col min="5139" max="5139" width="11.5703125" bestFit="1" customWidth="1"/>
    <col min="5140" max="5140" width="7.7109375" bestFit="1" customWidth="1"/>
    <col min="5141" max="5141" width="4.7109375" bestFit="1" customWidth="1"/>
    <col min="5142" max="5142" width="5.7109375" customWidth="1"/>
    <col min="5143" max="5143" width="5.28515625" bestFit="1" customWidth="1"/>
    <col min="5144" max="5144" width="17.42578125" bestFit="1" customWidth="1"/>
    <col min="5145" max="5145" width="13" bestFit="1" customWidth="1"/>
    <col min="5146" max="5146" width="24.5703125" bestFit="1" customWidth="1"/>
    <col min="5147" max="5147" width="37.42578125" bestFit="1" customWidth="1"/>
    <col min="5148" max="5148" width="30.7109375" bestFit="1" customWidth="1"/>
    <col min="5149" max="5149" width="21.28515625" bestFit="1" customWidth="1"/>
    <col min="5150" max="5150" width="25.5703125" bestFit="1" customWidth="1"/>
    <col min="5151" max="5151" width="30" bestFit="1" customWidth="1"/>
    <col min="5152" max="5152" width="31.28515625" bestFit="1" customWidth="1"/>
    <col min="5153" max="5153" width="21.7109375" bestFit="1" customWidth="1"/>
    <col min="5154" max="5155" width="21.28515625" bestFit="1" customWidth="1"/>
    <col min="5156" max="5156" width="20.28515625" bestFit="1" customWidth="1"/>
    <col min="5377" max="5377" width="3.7109375" bestFit="1" customWidth="1"/>
    <col min="5378" max="5378" width="5.28515625" bestFit="1" customWidth="1"/>
    <col min="5379" max="5379" width="30.28515625" bestFit="1" customWidth="1"/>
    <col min="5380" max="5380" width="11.5703125" bestFit="1" customWidth="1"/>
    <col min="5381" max="5381" width="10.42578125" bestFit="1" customWidth="1"/>
    <col min="5382" max="5382" width="10.7109375" bestFit="1" customWidth="1"/>
    <col min="5383" max="5383" width="14.7109375" bestFit="1" customWidth="1"/>
    <col min="5384" max="5387" width="11.5703125" bestFit="1" customWidth="1"/>
    <col min="5388" max="5388" width="10.7109375" bestFit="1" customWidth="1"/>
    <col min="5389" max="5389" width="11.28515625" customWidth="1"/>
    <col min="5390" max="5390" width="11.28515625" bestFit="1" customWidth="1"/>
    <col min="5391" max="5393" width="11.5703125" bestFit="1" customWidth="1"/>
    <col min="5394" max="5394" width="3.42578125" bestFit="1" customWidth="1"/>
    <col min="5395" max="5395" width="11.5703125" bestFit="1" customWidth="1"/>
    <col min="5396" max="5396" width="7.7109375" bestFit="1" customWidth="1"/>
    <col min="5397" max="5397" width="4.7109375" bestFit="1" customWidth="1"/>
    <col min="5398" max="5398" width="5.7109375" customWidth="1"/>
    <col min="5399" max="5399" width="5.28515625" bestFit="1" customWidth="1"/>
    <col min="5400" max="5400" width="17.42578125" bestFit="1" customWidth="1"/>
    <col min="5401" max="5401" width="13" bestFit="1" customWidth="1"/>
    <col min="5402" max="5402" width="24.5703125" bestFit="1" customWidth="1"/>
    <col min="5403" max="5403" width="37.42578125" bestFit="1" customWidth="1"/>
    <col min="5404" max="5404" width="30.7109375" bestFit="1" customWidth="1"/>
    <col min="5405" max="5405" width="21.28515625" bestFit="1" customWidth="1"/>
    <col min="5406" max="5406" width="25.5703125" bestFit="1" customWidth="1"/>
    <col min="5407" max="5407" width="30" bestFit="1" customWidth="1"/>
    <col min="5408" max="5408" width="31.28515625" bestFit="1" customWidth="1"/>
    <col min="5409" max="5409" width="21.7109375" bestFit="1" customWidth="1"/>
    <col min="5410" max="5411" width="21.28515625" bestFit="1" customWidth="1"/>
    <col min="5412" max="5412" width="20.28515625" bestFit="1" customWidth="1"/>
    <col min="5633" max="5633" width="3.7109375" bestFit="1" customWidth="1"/>
    <col min="5634" max="5634" width="5.28515625" bestFit="1" customWidth="1"/>
    <col min="5635" max="5635" width="30.28515625" bestFit="1" customWidth="1"/>
    <col min="5636" max="5636" width="11.5703125" bestFit="1" customWidth="1"/>
    <col min="5637" max="5637" width="10.42578125" bestFit="1" customWidth="1"/>
    <col min="5638" max="5638" width="10.7109375" bestFit="1" customWidth="1"/>
    <col min="5639" max="5639" width="14.7109375" bestFit="1" customWidth="1"/>
    <col min="5640" max="5643" width="11.5703125" bestFit="1" customWidth="1"/>
    <col min="5644" max="5644" width="10.7109375" bestFit="1" customWidth="1"/>
    <col min="5645" max="5645" width="11.28515625" customWidth="1"/>
    <col min="5646" max="5646" width="11.28515625" bestFit="1" customWidth="1"/>
    <col min="5647" max="5649" width="11.5703125" bestFit="1" customWidth="1"/>
    <col min="5650" max="5650" width="3.42578125" bestFit="1" customWidth="1"/>
    <col min="5651" max="5651" width="11.5703125" bestFit="1" customWidth="1"/>
    <col min="5652" max="5652" width="7.7109375" bestFit="1" customWidth="1"/>
    <col min="5653" max="5653" width="4.7109375" bestFit="1" customWidth="1"/>
    <col min="5654" max="5654" width="5.7109375" customWidth="1"/>
    <col min="5655" max="5655" width="5.28515625" bestFit="1" customWidth="1"/>
    <col min="5656" max="5656" width="17.42578125" bestFit="1" customWidth="1"/>
    <col min="5657" max="5657" width="13" bestFit="1" customWidth="1"/>
    <col min="5658" max="5658" width="24.5703125" bestFit="1" customWidth="1"/>
    <col min="5659" max="5659" width="37.42578125" bestFit="1" customWidth="1"/>
    <col min="5660" max="5660" width="30.7109375" bestFit="1" customWidth="1"/>
    <col min="5661" max="5661" width="21.28515625" bestFit="1" customWidth="1"/>
    <col min="5662" max="5662" width="25.5703125" bestFit="1" customWidth="1"/>
    <col min="5663" max="5663" width="30" bestFit="1" customWidth="1"/>
    <col min="5664" max="5664" width="31.28515625" bestFit="1" customWidth="1"/>
    <col min="5665" max="5665" width="21.7109375" bestFit="1" customWidth="1"/>
    <col min="5666" max="5667" width="21.28515625" bestFit="1" customWidth="1"/>
    <col min="5668" max="5668" width="20.28515625" bestFit="1" customWidth="1"/>
    <col min="5889" max="5889" width="3.7109375" bestFit="1" customWidth="1"/>
    <col min="5890" max="5890" width="5.28515625" bestFit="1" customWidth="1"/>
    <col min="5891" max="5891" width="30.28515625" bestFit="1" customWidth="1"/>
    <col min="5892" max="5892" width="11.5703125" bestFit="1" customWidth="1"/>
    <col min="5893" max="5893" width="10.42578125" bestFit="1" customWidth="1"/>
    <col min="5894" max="5894" width="10.7109375" bestFit="1" customWidth="1"/>
    <col min="5895" max="5895" width="14.7109375" bestFit="1" customWidth="1"/>
    <col min="5896" max="5899" width="11.5703125" bestFit="1" customWidth="1"/>
    <col min="5900" max="5900" width="10.7109375" bestFit="1" customWidth="1"/>
    <col min="5901" max="5901" width="11.28515625" customWidth="1"/>
    <col min="5902" max="5902" width="11.28515625" bestFit="1" customWidth="1"/>
    <col min="5903" max="5905" width="11.5703125" bestFit="1" customWidth="1"/>
    <col min="5906" max="5906" width="3.42578125" bestFit="1" customWidth="1"/>
    <col min="5907" max="5907" width="11.5703125" bestFit="1" customWidth="1"/>
    <col min="5908" max="5908" width="7.7109375" bestFit="1" customWidth="1"/>
    <col min="5909" max="5909" width="4.7109375" bestFit="1" customWidth="1"/>
    <col min="5910" max="5910" width="5.7109375" customWidth="1"/>
    <col min="5911" max="5911" width="5.28515625" bestFit="1" customWidth="1"/>
    <col min="5912" max="5912" width="17.42578125" bestFit="1" customWidth="1"/>
    <col min="5913" max="5913" width="13" bestFit="1" customWidth="1"/>
    <col min="5914" max="5914" width="24.5703125" bestFit="1" customWidth="1"/>
    <col min="5915" max="5915" width="37.42578125" bestFit="1" customWidth="1"/>
    <col min="5916" max="5916" width="30.7109375" bestFit="1" customWidth="1"/>
    <col min="5917" max="5917" width="21.28515625" bestFit="1" customWidth="1"/>
    <col min="5918" max="5918" width="25.5703125" bestFit="1" customWidth="1"/>
    <col min="5919" max="5919" width="30" bestFit="1" customWidth="1"/>
    <col min="5920" max="5920" width="31.28515625" bestFit="1" customWidth="1"/>
    <col min="5921" max="5921" width="21.7109375" bestFit="1" customWidth="1"/>
    <col min="5922" max="5923" width="21.28515625" bestFit="1" customWidth="1"/>
    <col min="5924" max="5924" width="20.28515625" bestFit="1" customWidth="1"/>
    <col min="6145" max="6145" width="3.7109375" bestFit="1" customWidth="1"/>
    <col min="6146" max="6146" width="5.28515625" bestFit="1" customWidth="1"/>
    <col min="6147" max="6147" width="30.28515625" bestFit="1" customWidth="1"/>
    <col min="6148" max="6148" width="11.5703125" bestFit="1" customWidth="1"/>
    <col min="6149" max="6149" width="10.42578125" bestFit="1" customWidth="1"/>
    <col min="6150" max="6150" width="10.7109375" bestFit="1" customWidth="1"/>
    <col min="6151" max="6151" width="14.7109375" bestFit="1" customWidth="1"/>
    <col min="6152" max="6155" width="11.5703125" bestFit="1" customWidth="1"/>
    <col min="6156" max="6156" width="10.7109375" bestFit="1" customWidth="1"/>
    <col min="6157" max="6157" width="11.28515625" customWidth="1"/>
    <col min="6158" max="6158" width="11.28515625" bestFit="1" customWidth="1"/>
    <col min="6159" max="6161" width="11.5703125" bestFit="1" customWidth="1"/>
    <col min="6162" max="6162" width="3.42578125" bestFit="1" customWidth="1"/>
    <col min="6163" max="6163" width="11.5703125" bestFit="1" customWidth="1"/>
    <col min="6164" max="6164" width="7.7109375" bestFit="1" customWidth="1"/>
    <col min="6165" max="6165" width="4.7109375" bestFit="1" customWidth="1"/>
    <col min="6166" max="6166" width="5.7109375" customWidth="1"/>
    <col min="6167" max="6167" width="5.28515625" bestFit="1" customWidth="1"/>
    <col min="6168" max="6168" width="17.42578125" bestFit="1" customWidth="1"/>
    <col min="6169" max="6169" width="13" bestFit="1" customWidth="1"/>
    <col min="6170" max="6170" width="24.5703125" bestFit="1" customWidth="1"/>
    <col min="6171" max="6171" width="37.42578125" bestFit="1" customWidth="1"/>
    <col min="6172" max="6172" width="30.7109375" bestFit="1" customWidth="1"/>
    <col min="6173" max="6173" width="21.28515625" bestFit="1" customWidth="1"/>
    <col min="6174" max="6174" width="25.5703125" bestFit="1" customWidth="1"/>
    <col min="6175" max="6175" width="30" bestFit="1" customWidth="1"/>
    <col min="6176" max="6176" width="31.28515625" bestFit="1" customWidth="1"/>
    <col min="6177" max="6177" width="21.7109375" bestFit="1" customWidth="1"/>
    <col min="6178" max="6179" width="21.28515625" bestFit="1" customWidth="1"/>
    <col min="6180" max="6180" width="20.28515625" bestFit="1" customWidth="1"/>
    <col min="6401" max="6401" width="3.7109375" bestFit="1" customWidth="1"/>
    <col min="6402" max="6402" width="5.28515625" bestFit="1" customWidth="1"/>
    <col min="6403" max="6403" width="30.28515625" bestFit="1" customWidth="1"/>
    <col min="6404" max="6404" width="11.5703125" bestFit="1" customWidth="1"/>
    <col min="6405" max="6405" width="10.42578125" bestFit="1" customWidth="1"/>
    <col min="6406" max="6406" width="10.7109375" bestFit="1" customWidth="1"/>
    <col min="6407" max="6407" width="14.7109375" bestFit="1" customWidth="1"/>
    <col min="6408" max="6411" width="11.5703125" bestFit="1" customWidth="1"/>
    <col min="6412" max="6412" width="10.7109375" bestFit="1" customWidth="1"/>
    <col min="6413" max="6413" width="11.28515625" customWidth="1"/>
    <col min="6414" max="6414" width="11.28515625" bestFit="1" customWidth="1"/>
    <col min="6415" max="6417" width="11.5703125" bestFit="1" customWidth="1"/>
    <col min="6418" max="6418" width="3.42578125" bestFit="1" customWidth="1"/>
    <col min="6419" max="6419" width="11.5703125" bestFit="1" customWidth="1"/>
    <col min="6420" max="6420" width="7.7109375" bestFit="1" customWidth="1"/>
    <col min="6421" max="6421" width="4.7109375" bestFit="1" customWidth="1"/>
    <col min="6422" max="6422" width="5.7109375" customWidth="1"/>
    <col min="6423" max="6423" width="5.28515625" bestFit="1" customWidth="1"/>
    <col min="6424" max="6424" width="17.42578125" bestFit="1" customWidth="1"/>
    <col min="6425" max="6425" width="13" bestFit="1" customWidth="1"/>
    <col min="6426" max="6426" width="24.5703125" bestFit="1" customWidth="1"/>
    <col min="6427" max="6427" width="37.42578125" bestFit="1" customWidth="1"/>
    <col min="6428" max="6428" width="30.7109375" bestFit="1" customWidth="1"/>
    <col min="6429" max="6429" width="21.28515625" bestFit="1" customWidth="1"/>
    <col min="6430" max="6430" width="25.5703125" bestFit="1" customWidth="1"/>
    <col min="6431" max="6431" width="30" bestFit="1" customWidth="1"/>
    <col min="6432" max="6432" width="31.28515625" bestFit="1" customWidth="1"/>
    <col min="6433" max="6433" width="21.7109375" bestFit="1" customWidth="1"/>
    <col min="6434" max="6435" width="21.28515625" bestFit="1" customWidth="1"/>
    <col min="6436" max="6436" width="20.28515625" bestFit="1" customWidth="1"/>
    <col min="6657" max="6657" width="3.7109375" bestFit="1" customWidth="1"/>
    <col min="6658" max="6658" width="5.28515625" bestFit="1" customWidth="1"/>
    <col min="6659" max="6659" width="30.28515625" bestFit="1" customWidth="1"/>
    <col min="6660" max="6660" width="11.5703125" bestFit="1" customWidth="1"/>
    <col min="6661" max="6661" width="10.42578125" bestFit="1" customWidth="1"/>
    <col min="6662" max="6662" width="10.7109375" bestFit="1" customWidth="1"/>
    <col min="6663" max="6663" width="14.7109375" bestFit="1" customWidth="1"/>
    <col min="6664" max="6667" width="11.5703125" bestFit="1" customWidth="1"/>
    <col min="6668" max="6668" width="10.7109375" bestFit="1" customWidth="1"/>
    <col min="6669" max="6669" width="11.28515625" customWidth="1"/>
    <col min="6670" max="6670" width="11.28515625" bestFit="1" customWidth="1"/>
    <col min="6671" max="6673" width="11.5703125" bestFit="1" customWidth="1"/>
    <col min="6674" max="6674" width="3.42578125" bestFit="1" customWidth="1"/>
    <col min="6675" max="6675" width="11.5703125" bestFit="1" customWidth="1"/>
    <col min="6676" max="6676" width="7.7109375" bestFit="1" customWidth="1"/>
    <col min="6677" max="6677" width="4.7109375" bestFit="1" customWidth="1"/>
    <col min="6678" max="6678" width="5.7109375" customWidth="1"/>
    <col min="6679" max="6679" width="5.28515625" bestFit="1" customWidth="1"/>
    <col min="6680" max="6680" width="17.42578125" bestFit="1" customWidth="1"/>
    <col min="6681" max="6681" width="13" bestFit="1" customWidth="1"/>
    <col min="6682" max="6682" width="24.5703125" bestFit="1" customWidth="1"/>
    <col min="6683" max="6683" width="37.42578125" bestFit="1" customWidth="1"/>
    <col min="6684" max="6684" width="30.7109375" bestFit="1" customWidth="1"/>
    <col min="6685" max="6685" width="21.28515625" bestFit="1" customWidth="1"/>
    <col min="6686" max="6686" width="25.5703125" bestFit="1" customWidth="1"/>
    <col min="6687" max="6687" width="30" bestFit="1" customWidth="1"/>
    <col min="6688" max="6688" width="31.28515625" bestFit="1" customWidth="1"/>
    <col min="6689" max="6689" width="21.7109375" bestFit="1" customWidth="1"/>
    <col min="6690" max="6691" width="21.28515625" bestFit="1" customWidth="1"/>
    <col min="6692" max="6692" width="20.28515625" bestFit="1" customWidth="1"/>
    <col min="6913" max="6913" width="3.7109375" bestFit="1" customWidth="1"/>
    <col min="6914" max="6914" width="5.28515625" bestFit="1" customWidth="1"/>
    <col min="6915" max="6915" width="30.28515625" bestFit="1" customWidth="1"/>
    <col min="6916" max="6916" width="11.5703125" bestFit="1" customWidth="1"/>
    <col min="6917" max="6917" width="10.42578125" bestFit="1" customWidth="1"/>
    <col min="6918" max="6918" width="10.7109375" bestFit="1" customWidth="1"/>
    <col min="6919" max="6919" width="14.7109375" bestFit="1" customWidth="1"/>
    <col min="6920" max="6923" width="11.5703125" bestFit="1" customWidth="1"/>
    <col min="6924" max="6924" width="10.7109375" bestFit="1" customWidth="1"/>
    <col min="6925" max="6925" width="11.28515625" customWidth="1"/>
    <col min="6926" max="6926" width="11.28515625" bestFit="1" customWidth="1"/>
    <col min="6927" max="6929" width="11.5703125" bestFit="1" customWidth="1"/>
    <col min="6930" max="6930" width="3.42578125" bestFit="1" customWidth="1"/>
    <col min="6931" max="6931" width="11.5703125" bestFit="1" customWidth="1"/>
    <col min="6932" max="6932" width="7.7109375" bestFit="1" customWidth="1"/>
    <col min="6933" max="6933" width="4.7109375" bestFit="1" customWidth="1"/>
    <col min="6934" max="6934" width="5.7109375" customWidth="1"/>
    <col min="6935" max="6935" width="5.28515625" bestFit="1" customWidth="1"/>
    <col min="6936" max="6936" width="17.42578125" bestFit="1" customWidth="1"/>
    <col min="6937" max="6937" width="13" bestFit="1" customWidth="1"/>
    <col min="6938" max="6938" width="24.5703125" bestFit="1" customWidth="1"/>
    <col min="6939" max="6939" width="37.42578125" bestFit="1" customWidth="1"/>
    <col min="6940" max="6940" width="30.7109375" bestFit="1" customWidth="1"/>
    <col min="6941" max="6941" width="21.28515625" bestFit="1" customWidth="1"/>
    <col min="6942" max="6942" width="25.5703125" bestFit="1" customWidth="1"/>
    <col min="6943" max="6943" width="30" bestFit="1" customWidth="1"/>
    <col min="6944" max="6944" width="31.28515625" bestFit="1" customWidth="1"/>
    <col min="6945" max="6945" width="21.7109375" bestFit="1" customWidth="1"/>
    <col min="6946" max="6947" width="21.28515625" bestFit="1" customWidth="1"/>
    <col min="6948" max="6948" width="20.28515625" bestFit="1" customWidth="1"/>
    <col min="7169" max="7169" width="3.7109375" bestFit="1" customWidth="1"/>
    <col min="7170" max="7170" width="5.28515625" bestFit="1" customWidth="1"/>
    <col min="7171" max="7171" width="30.28515625" bestFit="1" customWidth="1"/>
    <col min="7172" max="7172" width="11.5703125" bestFit="1" customWidth="1"/>
    <col min="7173" max="7173" width="10.42578125" bestFit="1" customWidth="1"/>
    <col min="7174" max="7174" width="10.7109375" bestFit="1" customWidth="1"/>
    <col min="7175" max="7175" width="14.7109375" bestFit="1" customWidth="1"/>
    <col min="7176" max="7179" width="11.5703125" bestFit="1" customWidth="1"/>
    <col min="7180" max="7180" width="10.7109375" bestFit="1" customWidth="1"/>
    <col min="7181" max="7181" width="11.28515625" customWidth="1"/>
    <col min="7182" max="7182" width="11.28515625" bestFit="1" customWidth="1"/>
    <col min="7183" max="7185" width="11.5703125" bestFit="1" customWidth="1"/>
    <col min="7186" max="7186" width="3.42578125" bestFit="1" customWidth="1"/>
    <col min="7187" max="7187" width="11.5703125" bestFit="1" customWidth="1"/>
    <col min="7188" max="7188" width="7.7109375" bestFit="1" customWidth="1"/>
    <col min="7189" max="7189" width="4.7109375" bestFit="1" customWidth="1"/>
    <col min="7190" max="7190" width="5.7109375" customWidth="1"/>
    <col min="7191" max="7191" width="5.28515625" bestFit="1" customWidth="1"/>
    <col min="7192" max="7192" width="17.42578125" bestFit="1" customWidth="1"/>
    <col min="7193" max="7193" width="13" bestFit="1" customWidth="1"/>
    <col min="7194" max="7194" width="24.5703125" bestFit="1" customWidth="1"/>
    <col min="7195" max="7195" width="37.42578125" bestFit="1" customWidth="1"/>
    <col min="7196" max="7196" width="30.7109375" bestFit="1" customWidth="1"/>
    <col min="7197" max="7197" width="21.28515625" bestFit="1" customWidth="1"/>
    <col min="7198" max="7198" width="25.5703125" bestFit="1" customWidth="1"/>
    <col min="7199" max="7199" width="30" bestFit="1" customWidth="1"/>
    <col min="7200" max="7200" width="31.28515625" bestFit="1" customWidth="1"/>
    <col min="7201" max="7201" width="21.7109375" bestFit="1" customWidth="1"/>
    <col min="7202" max="7203" width="21.28515625" bestFit="1" customWidth="1"/>
    <col min="7204" max="7204" width="20.28515625" bestFit="1" customWidth="1"/>
    <col min="7425" max="7425" width="3.7109375" bestFit="1" customWidth="1"/>
    <col min="7426" max="7426" width="5.28515625" bestFit="1" customWidth="1"/>
    <col min="7427" max="7427" width="30.28515625" bestFit="1" customWidth="1"/>
    <col min="7428" max="7428" width="11.5703125" bestFit="1" customWidth="1"/>
    <col min="7429" max="7429" width="10.42578125" bestFit="1" customWidth="1"/>
    <col min="7430" max="7430" width="10.7109375" bestFit="1" customWidth="1"/>
    <col min="7431" max="7431" width="14.7109375" bestFit="1" customWidth="1"/>
    <col min="7432" max="7435" width="11.5703125" bestFit="1" customWidth="1"/>
    <col min="7436" max="7436" width="10.7109375" bestFit="1" customWidth="1"/>
    <col min="7437" max="7437" width="11.28515625" customWidth="1"/>
    <col min="7438" max="7438" width="11.28515625" bestFit="1" customWidth="1"/>
    <col min="7439" max="7441" width="11.5703125" bestFit="1" customWidth="1"/>
    <col min="7442" max="7442" width="3.42578125" bestFit="1" customWidth="1"/>
    <col min="7443" max="7443" width="11.5703125" bestFit="1" customWidth="1"/>
    <col min="7444" max="7444" width="7.7109375" bestFit="1" customWidth="1"/>
    <col min="7445" max="7445" width="4.7109375" bestFit="1" customWidth="1"/>
    <col min="7446" max="7446" width="5.7109375" customWidth="1"/>
    <col min="7447" max="7447" width="5.28515625" bestFit="1" customWidth="1"/>
    <col min="7448" max="7448" width="17.42578125" bestFit="1" customWidth="1"/>
    <col min="7449" max="7449" width="13" bestFit="1" customWidth="1"/>
    <col min="7450" max="7450" width="24.5703125" bestFit="1" customWidth="1"/>
    <col min="7451" max="7451" width="37.42578125" bestFit="1" customWidth="1"/>
    <col min="7452" max="7452" width="30.7109375" bestFit="1" customWidth="1"/>
    <col min="7453" max="7453" width="21.28515625" bestFit="1" customWidth="1"/>
    <col min="7454" max="7454" width="25.5703125" bestFit="1" customWidth="1"/>
    <col min="7455" max="7455" width="30" bestFit="1" customWidth="1"/>
    <col min="7456" max="7456" width="31.28515625" bestFit="1" customWidth="1"/>
    <col min="7457" max="7457" width="21.7109375" bestFit="1" customWidth="1"/>
    <col min="7458" max="7459" width="21.28515625" bestFit="1" customWidth="1"/>
    <col min="7460" max="7460" width="20.28515625" bestFit="1" customWidth="1"/>
    <col min="7681" max="7681" width="3.7109375" bestFit="1" customWidth="1"/>
    <col min="7682" max="7682" width="5.28515625" bestFit="1" customWidth="1"/>
    <col min="7683" max="7683" width="30.28515625" bestFit="1" customWidth="1"/>
    <col min="7684" max="7684" width="11.5703125" bestFit="1" customWidth="1"/>
    <col min="7685" max="7685" width="10.42578125" bestFit="1" customWidth="1"/>
    <col min="7686" max="7686" width="10.7109375" bestFit="1" customWidth="1"/>
    <col min="7687" max="7687" width="14.7109375" bestFit="1" customWidth="1"/>
    <col min="7688" max="7691" width="11.5703125" bestFit="1" customWidth="1"/>
    <col min="7692" max="7692" width="10.7109375" bestFit="1" customWidth="1"/>
    <col min="7693" max="7693" width="11.28515625" customWidth="1"/>
    <col min="7694" max="7694" width="11.28515625" bestFit="1" customWidth="1"/>
    <col min="7695" max="7697" width="11.5703125" bestFit="1" customWidth="1"/>
    <col min="7698" max="7698" width="3.42578125" bestFit="1" customWidth="1"/>
    <col min="7699" max="7699" width="11.5703125" bestFit="1" customWidth="1"/>
    <col min="7700" max="7700" width="7.7109375" bestFit="1" customWidth="1"/>
    <col min="7701" max="7701" width="4.7109375" bestFit="1" customWidth="1"/>
    <col min="7702" max="7702" width="5.7109375" customWidth="1"/>
    <col min="7703" max="7703" width="5.28515625" bestFit="1" customWidth="1"/>
    <col min="7704" max="7704" width="17.42578125" bestFit="1" customWidth="1"/>
    <col min="7705" max="7705" width="13" bestFit="1" customWidth="1"/>
    <col min="7706" max="7706" width="24.5703125" bestFit="1" customWidth="1"/>
    <col min="7707" max="7707" width="37.42578125" bestFit="1" customWidth="1"/>
    <col min="7708" max="7708" width="30.7109375" bestFit="1" customWidth="1"/>
    <col min="7709" max="7709" width="21.28515625" bestFit="1" customWidth="1"/>
    <col min="7710" max="7710" width="25.5703125" bestFit="1" customWidth="1"/>
    <col min="7711" max="7711" width="30" bestFit="1" customWidth="1"/>
    <col min="7712" max="7712" width="31.28515625" bestFit="1" customWidth="1"/>
    <col min="7713" max="7713" width="21.7109375" bestFit="1" customWidth="1"/>
    <col min="7714" max="7715" width="21.28515625" bestFit="1" customWidth="1"/>
    <col min="7716" max="7716" width="20.28515625" bestFit="1" customWidth="1"/>
    <col min="7937" max="7937" width="3.7109375" bestFit="1" customWidth="1"/>
    <col min="7938" max="7938" width="5.28515625" bestFit="1" customWidth="1"/>
    <col min="7939" max="7939" width="30.28515625" bestFit="1" customWidth="1"/>
    <col min="7940" max="7940" width="11.5703125" bestFit="1" customWidth="1"/>
    <col min="7941" max="7941" width="10.42578125" bestFit="1" customWidth="1"/>
    <col min="7942" max="7942" width="10.7109375" bestFit="1" customWidth="1"/>
    <col min="7943" max="7943" width="14.7109375" bestFit="1" customWidth="1"/>
    <col min="7944" max="7947" width="11.5703125" bestFit="1" customWidth="1"/>
    <col min="7948" max="7948" width="10.7109375" bestFit="1" customWidth="1"/>
    <col min="7949" max="7949" width="11.28515625" customWidth="1"/>
    <col min="7950" max="7950" width="11.28515625" bestFit="1" customWidth="1"/>
    <col min="7951" max="7953" width="11.5703125" bestFit="1" customWidth="1"/>
    <col min="7954" max="7954" width="3.42578125" bestFit="1" customWidth="1"/>
    <col min="7955" max="7955" width="11.5703125" bestFit="1" customWidth="1"/>
    <col min="7956" max="7956" width="7.7109375" bestFit="1" customWidth="1"/>
    <col min="7957" max="7957" width="4.7109375" bestFit="1" customWidth="1"/>
    <col min="7958" max="7958" width="5.7109375" customWidth="1"/>
    <col min="7959" max="7959" width="5.28515625" bestFit="1" customWidth="1"/>
    <col min="7960" max="7960" width="17.42578125" bestFit="1" customWidth="1"/>
    <col min="7961" max="7961" width="13" bestFit="1" customWidth="1"/>
    <col min="7962" max="7962" width="24.5703125" bestFit="1" customWidth="1"/>
    <col min="7963" max="7963" width="37.42578125" bestFit="1" customWidth="1"/>
    <col min="7964" max="7964" width="30.7109375" bestFit="1" customWidth="1"/>
    <col min="7965" max="7965" width="21.28515625" bestFit="1" customWidth="1"/>
    <col min="7966" max="7966" width="25.5703125" bestFit="1" customWidth="1"/>
    <col min="7967" max="7967" width="30" bestFit="1" customWidth="1"/>
    <col min="7968" max="7968" width="31.28515625" bestFit="1" customWidth="1"/>
    <col min="7969" max="7969" width="21.7109375" bestFit="1" customWidth="1"/>
    <col min="7970" max="7971" width="21.28515625" bestFit="1" customWidth="1"/>
    <col min="7972" max="7972" width="20.28515625" bestFit="1" customWidth="1"/>
    <col min="8193" max="8193" width="3.7109375" bestFit="1" customWidth="1"/>
    <col min="8194" max="8194" width="5.28515625" bestFit="1" customWidth="1"/>
    <col min="8195" max="8195" width="30.28515625" bestFit="1" customWidth="1"/>
    <col min="8196" max="8196" width="11.5703125" bestFit="1" customWidth="1"/>
    <col min="8197" max="8197" width="10.42578125" bestFit="1" customWidth="1"/>
    <col min="8198" max="8198" width="10.7109375" bestFit="1" customWidth="1"/>
    <col min="8199" max="8199" width="14.7109375" bestFit="1" customWidth="1"/>
    <col min="8200" max="8203" width="11.5703125" bestFit="1" customWidth="1"/>
    <col min="8204" max="8204" width="10.7109375" bestFit="1" customWidth="1"/>
    <col min="8205" max="8205" width="11.28515625" customWidth="1"/>
    <col min="8206" max="8206" width="11.28515625" bestFit="1" customWidth="1"/>
    <col min="8207" max="8209" width="11.5703125" bestFit="1" customWidth="1"/>
    <col min="8210" max="8210" width="3.42578125" bestFit="1" customWidth="1"/>
    <col min="8211" max="8211" width="11.5703125" bestFit="1" customWidth="1"/>
    <col min="8212" max="8212" width="7.7109375" bestFit="1" customWidth="1"/>
    <col min="8213" max="8213" width="4.7109375" bestFit="1" customWidth="1"/>
    <col min="8214" max="8214" width="5.7109375" customWidth="1"/>
    <col min="8215" max="8215" width="5.28515625" bestFit="1" customWidth="1"/>
    <col min="8216" max="8216" width="17.42578125" bestFit="1" customWidth="1"/>
    <col min="8217" max="8217" width="13" bestFit="1" customWidth="1"/>
    <col min="8218" max="8218" width="24.5703125" bestFit="1" customWidth="1"/>
    <col min="8219" max="8219" width="37.42578125" bestFit="1" customWidth="1"/>
    <col min="8220" max="8220" width="30.7109375" bestFit="1" customWidth="1"/>
    <col min="8221" max="8221" width="21.28515625" bestFit="1" customWidth="1"/>
    <col min="8222" max="8222" width="25.5703125" bestFit="1" customWidth="1"/>
    <col min="8223" max="8223" width="30" bestFit="1" customWidth="1"/>
    <col min="8224" max="8224" width="31.28515625" bestFit="1" customWidth="1"/>
    <col min="8225" max="8225" width="21.7109375" bestFit="1" customWidth="1"/>
    <col min="8226" max="8227" width="21.28515625" bestFit="1" customWidth="1"/>
    <col min="8228" max="8228" width="20.28515625" bestFit="1" customWidth="1"/>
    <col min="8449" max="8449" width="3.7109375" bestFit="1" customWidth="1"/>
    <col min="8450" max="8450" width="5.28515625" bestFit="1" customWidth="1"/>
    <col min="8451" max="8451" width="30.28515625" bestFit="1" customWidth="1"/>
    <col min="8452" max="8452" width="11.5703125" bestFit="1" customWidth="1"/>
    <col min="8453" max="8453" width="10.42578125" bestFit="1" customWidth="1"/>
    <col min="8454" max="8454" width="10.7109375" bestFit="1" customWidth="1"/>
    <col min="8455" max="8455" width="14.7109375" bestFit="1" customWidth="1"/>
    <col min="8456" max="8459" width="11.5703125" bestFit="1" customWidth="1"/>
    <col min="8460" max="8460" width="10.7109375" bestFit="1" customWidth="1"/>
    <col min="8461" max="8461" width="11.28515625" customWidth="1"/>
    <col min="8462" max="8462" width="11.28515625" bestFit="1" customWidth="1"/>
    <col min="8463" max="8465" width="11.5703125" bestFit="1" customWidth="1"/>
    <col min="8466" max="8466" width="3.42578125" bestFit="1" customWidth="1"/>
    <col min="8467" max="8467" width="11.5703125" bestFit="1" customWidth="1"/>
    <col min="8468" max="8468" width="7.7109375" bestFit="1" customWidth="1"/>
    <col min="8469" max="8469" width="4.7109375" bestFit="1" customWidth="1"/>
    <col min="8470" max="8470" width="5.7109375" customWidth="1"/>
    <col min="8471" max="8471" width="5.28515625" bestFit="1" customWidth="1"/>
    <col min="8472" max="8472" width="17.42578125" bestFit="1" customWidth="1"/>
    <col min="8473" max="8473" width="13" bestFit="1" customWidth="1"/>
    <col min="8474" max="8474" width="24.5703125" bestFit="1" customWidth="1"/>
    <col min="8475" max="8475" width="37.42578125" bestFit="1" customWidth="1"/>
    <col min="8476" max="8476" width="30.7109375" bestFit="1" customWidth="1"/>
    <col min="8477" max="8477" width="21.28515625" bestFit="1" customWidth="1"/>
    <col min="8478" max="8478" width="25.5703125" bestFit="1" customWidth="1"/>
    <col min="8479" max="8479" width="30" bestFit="1" customWidth="1"/>
    <col min="8480" max="8480" width="31.28515625" bestFit="1" customWidth="1"/>
    <col min="8481" max="8481" width="21.7109375" bestFit="1" customWidth="1"/>
    <col min="8482" max="8483" width="21.28515625" bestFit="1" customWidth="1"/>
    <col min="8484" max="8484" width="20.28515625" bestFit="1" customWidth="1"/>
    <col min="8705" max="8705" width="3.7109375" bestFit="1" customWidth="1"/>
    <col min="8706" max="8706" width="5.28515625" bestFit="1" customWidth="1"/>
    <col min="8707" max="8707" width="30.28515625" bestFit="1" customWidth="1"/>
    <col min="8708" max="8708" width="11.5703125" bestFit="1" customWidth="1"/>
    <col min="8709" max="8709" width="10.42578125" bestFit="1" customWidth="1"/>
    <col min="8710" max="8710" width="10.7109375" bestFit="1" customWidth="1"/>
    <col min="8711" max="8711" width="14.7109375" bestFit="1" customWidth="1"/>
    <col min="8712" max="8715" width="11.5703125" bestFit="1" customWidth="1"/>
    <col min="8716" max="8716" width="10.7109375" bestFit="1" customWidth="1"/>
    <col min="8717" max="8717" width="11.28515625" customWidth="1"/>
    <col min="8718" max="8718" width="11.28515625" bestFit="1" customWidth="1"/>
    <col min="8719" max="8721" width="11.5703125" bestFit="1" customWidth="1"/>
    <col min="8722" max="8722" width="3.42578125" bestFit="1" customWidth="1"/>
    <col min="8723" max="8723" width="11.5703125" bestFit="1" customWidth="1"/>
    <col min="8724" max="8724" width="7.7109375" bestFit="1" customWidth="1"/>
    <col min="8725" max="8725" width="4.7109375" bestFit="1" customWidth="1"/>
    <col min="8726" max="8726" width="5.7109375" customWidth="1"/>
    <col min="8727" max="8727" width="5.28515625" bestFit="1" customWidth="1"/>
    <col min="8728" max="8728" width="17.42578125" bestFit="1" customWidth="1"/>
    <col min="8729" max="8729" width="13" bestFit="1" customWidth="1"/>
    <col min="8730" max="8730" width="24.5703125" bestFit="1" customWidth="1"/>
    <col min="8731" max="8731" width="37.42578125" bestFit="1" customWidth="1"/>
    <col min="8732" max="8732" width="30.7109375" bestFit="1" customWidth="1"/>
    <col min="8733" max="8733" width="21.28515625" bestFit="1" customWidth="1"/>
    <col min="8734" max="8734" width="25.5703125" bestFit="1" customWidth="1"/>
    <col min="8735" max="8735" width="30" bestFit="1" customWidth="1"/>
    <col min="8736" max="8736" width="31.28515625" bestFit="1" customWidth="1"/>
    <col min="8737" max="8737" width="21.7109375" bestFit="1" customWidth="1"/>
    <col min="8738" max="8739" width="21.28515625" bestFit="1" customWidth="1"/>
    <col min="8740" max="8740" width="20.28515625" bestFit="1" customWidth="1"/>
    <col min="8961" max="8961" width="3.7109375" bestFit="1" customWidth="1"/>
    <col min="8962" max="8962" width="5.28515625" bestFit="1" customWidth="1"/>
    <col min="8963" max="8963" width="30.28515625" bestFit="1" customWidth="1"/>
    <col min="8964" max="8964" width="11.5703125" bestFit="1" customWidth="1"/>
    <col min="8965" max="8965" width="10.42578125" bestFit="1" customWidth="1"/>
    <col min="8966" max="8966" width="10.7109375" bestFit="1" customWidth="1"/>
    <col min="8967" max="8967" width="14.7109375" bestFit="1" customWidth="1"/>
    <col min="8968" max="8971" width="11.5703125" bestFit="1" customWidth="1"/>
    <col min="8972" max="8972" width="10.7109375" bestFit="1" customWidth="1"/>
    <col min="8973" max="8973" width="11.28515625" customWidth="1"/>
    <col min="8974" max="8974" width="11.28515625" bestFit="1" customWidth="1"/>
    <col min="8975" max="8977" width="11.5703125" bestFit="1" customWidth="1"/>
    <col min="8978" max="8978" width="3.42578125" bestFit="1" customWidth="1"/>
    <col min="8979" max="8979" width="11.5703125" bestFit="1" customWidth="1"/>
    <col min="8980" max="8980" width="7.7109375" bestFit="1" customWidth="1"/>
    <col min="8981" max="8981" width="4.7109375" bestFit="1" customWidth="1"/>
    <col min="8982" max="8982" width="5.7109375" customWidth="1"/>
    <col min="8983" max="8983" width="5.28515625" bestFit="1" customWidth="1"/>
    <col min="8984" max="8984" width="17.42578125" bestFit="1" customWidth="1"/>
    <col min="8985" max="8985" width="13" bestFit="1" customWidth="1"/>
    <col min="8986" max="8986" width="24.5703125" bestFit="1" customWidth="1"/>
    <col min="8987" max="8987" width="37.42578125" bestFit="1" customWidth="1"/>
    <col min="8988" max="8988" width="30.7109375" bestFit="1" customWidth="1"/>
    <col min="8989" max="8989" width="21.28515625" bestFit="1" customWidth="1"/>
    <col min="8990" max="8990" width="25.5703125" bestFit="1" customWidth="1"/>
    <col min="8991" max="8991" width="30" bestFit="1" customWidth="1"/>
    <col min="8992" max="8992" width="31.28515625" bestFit="1" customWidth="1"/>
    <col min="8993" max="8993" width="21.7109375" bestFit="1" customWidth="1"/>
    <col min="8994" max="8995" width="21.28515625" bestFit="1" customWidth="1"/>
    <col min="8996" max="8996" width="20.28515625" bestFit="1" customWidth="1"/>
    <col min="9217" max="9217" width="3.7109375" bestFit="1" customWidth="1"/>
    <col min="9218" max="9218" width="5.28515625" bestFit="1" customWidth="1"/>
    <col min="9219" max="9219" width="30.28515625" bestFit="1" customWidth="1"/>
    <col min="9220" max="9220" width="11.5703125" bestFit="1" customWidth="1"/>
    <col min="9221" max="9221" width="10.42578125" bestFit="1" customWidth="1"/>
    <col min="9222" max="9222" width="10.7109375" bestFit="1" customWidth="1"/>
    <col min="9223" max="9223" width="14.7109375" bestFit="1" customWidth="1"/>
    <col min="9224" max="9227" width="11.5703125" bestFit="1" customWidth="1"/>
    <col min="9228" max="9228" width="10.7109375" bestFit="1" customWidth="1"/>
    <col min="9229" max="9229" width="11.28515625" customWidth="1"/>
    <col min="9230" max="9230" width="11.28515625" bestFit="1" customWidth="1"/>
    <col min="9231" max="9233" width="11.5703125" bestFit="1" customWidth="1"/>
    <col min="9234" max="9234" width="3.42578125" bestFit="1" customWidth="1"/>
    <col min="9235" max="9235" width="11.5703125" bestFit="1" customWidth="1"/>
    <col min="9236" max="9236" width="7.7109375" bestFit="1" customWidth="1"/>
    <col min="9237" max="9237" width="4.7109375" bestFit="1" customWidth="1"/>
    <col min="9238" max="9238" width="5.7109375" customWidth="1"/>
    <col min="9239" max="9239" width="5.28515625" bestFit="1" customWidth="1"/>
    <col min="9240" max="9240" width="17.42578125" bestFit="1" customWidth="1"/>
    <col min="9241" max="9241" width="13" bestFit="1" customWidth="1"/>
    <col min="9242" max="9242" width="24.5703125" bestFit="1" customWidth="1"/>
    <col min="9243" max="9243" width="37.42578125" bestFit="1" customWidth="1"/>
    <col min="9244" max="9244" width="30.7109375" bestFit="1" customWidth="1"/>
    <col min="9245" max="9245" width="21.28515625" bestFit="1" customWidth="1"/>
    <col min="9246" max="9246" width="25.5703125" bestFit="1" customWidth="1"/>
    <col min="9247" max="9247" width="30" bestFit="1" customWidth="1"/>
    <col min="9248" max="9248" width="31.28515625" bestFit="1" customWidth="1"/>
    <col min="9249" max="9249" width="21.7109375" bestFit="1" customWidth="1"/>
    <col min="9250" max="9251" width="21.28515625" bestFit="1" customWidth="1"/>
    <col min="9252" max="9252" width="20.28515625" bestFit="1" customWidth="1"/>
    <col min="9473" max="9473" width="3.7109375" bestFit="1" customWidth="1"/>
    <col min="9474" max="9474" width="5.28515625" bestFit="1" customWidth="1"/>
    <col min="9475" max="9475" width="30.28515625" bestFit="1" customWidth="1"/>
    <col min="9476" max="9476" width="11.5703125" bestFit="1" customWidth="1"/>
    <col min="9477" max="9477" width="10.42578125" bestFit="1" customWidth="1"/>
    <col min="9478" max="9478" width="10.7109375" bestFit="1" customWidth="1"/>
    <col min="9479" max="9479" width="14.7109375" bestFit="1" customWidth="1"/>
    <col min="9480" max="9483" width="11.5703125" bestFit="1" customWidth="1"/>
    <col min="9484" max="9484" width="10.7109375" bestFit="1" customWidth="1"/>
    <col min="9485" max="9485" width="11.28515625" customWidth="1"/>
    <col min="9486" max="9486" width="11.28515625" bestFit="1" customWidth="1"/>
    <col min="9487" max="9489" width="11.5703125" bestFit="1" customWidth="1"/>
    <col min="9490" max="9490" width="3.42578125" bestFit="1" customWidth="1"/>
    <col min="9491" max="9491" width="11.5703125" bestFit="1" customWidth="1"/>
    <col min="9492" max="9492" width="7.7109375" bestFit="1" customWidth="1"/>
    <col min="9493" max="9493" width="4.7109375" bestFit="1" customWidth="1"/>
    <col min="9494" max="9494" width="5.7109375" customWidth="1"/>
    <col min="9495" max="9495" width="5.28515625" bestFit="1" customWidth="1"/>
    <col min="9496" max="9496" width="17.42578125" bestFit="1" customWidth="1"/>
    <col min="9497" max="9497" width="13" bestFit="1" customWidth="1"/>
    <col min="9498" max="9498" width="24.5703125" bestFit="1" customWidth="1"/>
    <col min="9499" max="9499" width="37.42578125" bestFit="1" customWidth="1"/>
    <col min="9500" max="9500" width="30.7109375" bestFit="1" customWidth="1"/>
    <col min="9501" max="9501" width="21.28515625" bestFit="1" customWidth="1"/>
    <col min="9502" max="9502" width="25.5703125" bestFit="1" customWidth="1"/>
    <col min="9503" max="9503" width="30" bestFit="1" customWidth="1"/>
    <col min="9504" max="9504" width="31.28515625" bestFit="1" customWidth="1"/>
    <col min="9505" max="9505" width="21.7109375" bestFit="1" customWidth="1"/>
    <col min="9506" max="9507" width="21.28515625" bestFit="1" customWidth="1"/>
    <col min="9508" max="9508" width="20.28515625" bestFit="1" customWidth="1"/>
    <col min="9729" max="9729" width="3.7109375" bestFit="1" customWidth="1"/>
    <col min="9730" max="9730" width="5.28515625" bestFit="1" customWidth="1"/>
    <col min="9731" max="9731" width="30.28515625" bestFit="1" customWidth="1"/>
    <col min="9732" max="9732" width="11.5703125" bestFit="1" customWidth="1"/>
    <col min="9733" max="9733" width="10.42578125" bestFit="1" customWidth="1"/>
    <col min="9734" max="9734" width="10.7109375" bestFit="1" customWidth="1"/>
    <col min="9735" max="9735" width="14.7109375" bestFit="1" customWidth="1"/>
    <col min="9736" max="9739" width="11.5703125" bestFit="1" customWidth="1"/>
    <col min="9740" max="9740" width="10.7109375" bestFit="1" customWidth="1"/>
    <col min="9741" max="9741" width="11.28515625" customWidth="1"/>
    <col min="9742" max="9742" width="11.28515625" bestFit="1" customWidth="1"/>
    <col min="9743" max="9745" width="11.5703125" bestFit="1" customWidth="1"/>
    <col min="9746" max="9746" width="3.42578125" bestFit="1" customWidth="1"/>
    <col min="9747" max="9747" width="11.5703125" bestFit="1" customWidth="1"/>
    <col min="9748" max="9748" width="7.7109375" bestFit="1" customWidth="1"/>
    <col min="9749" max="9749" width="4.7109375" bestFit="1" customWidth="1"/>
    <col min="9750" max="9750" width="5.7109375" customWidth="1"/>
    <col min="9751" max="9751" width="5.28515625" bestFit="1" customWidth="1"/>
    <col min="9752" max="9752" width="17.42578125" bestFit="1" customWidth="1"/>
    <col min="9753" max="9753" width="13" bestFit="1" customWidth="1"/>
    <col min="9754" max="9754" width="24.5703125" bestFit="1" customWidth="1"/>
    <col min="9755" max="9755" width="37.42578125" bestFit="1" customWidth="1"/>
    <col min="9756" max="9756" width="30.7109375" bestFit="1" customWidth="1"/>
    <col min="9757" max="9757" width="21.28515625" bestFit="1" customWidth="1"/>
    <col min="9758" max="9758" width="25.5703125" bestFit="1" customWidth="1"/>
    <col min="9759" max="9759" width="30" bestFit="1" customWidth="1"/>
    <col min="9760" max="9760" width="31.28515625" bestFit="1" customWidth="1"/>
    <col min="9761" max="9761" width="21.7109375" bestFit="1" customWidth="1"/>
    <col min="9762" max="9763" width="21.28515625" bestFit="1" customWidth="1"/>
    <col min="9764" max="9764" width="20.28515625" bestFit="1" customWidth="1"/>
    <col min="9985" max="9985" width="3.7109375" bestFit="1" customWidth="1"/>
    <col min="9986" max="9986" width="5.28515625" bestFit="1" customWidth="1"/>
    <col min="9987" max="9987" width="30.28515625" bestFit="1" customWidth="1"/>
    <col min="9988" max="9988" width="11.5703125" bestFit="1" customWidth="1"/>
    <col min="9989" max="9989" width="10.42578125" bestFit="1" customWidth="1"/>
    <col min="9990" max="9990" width="10.7109375" bestFit="1" customWidth="1"/>
    <col min="9991" max="9991" width="14.7109375" bestFit="1" customWidth="1"/>
    <col min="9992" max="9995" width="11.5703125" bestFit="1" customWidth="1"/>
    <col min="9996" max="9996" width="10.7109375" bestFit="1" customWidth="1"/>
    <col min="9997" max="9997" width="11.28515625" customWidth="1"/>
    <col min="9998" max="9998" width="11.28515625" bestFit="1" customWidth="1"/>
    <col min="9999" max="10001" width="11.5703125" bestFit="1" customWidth="1"/>
    <col min="10002" max="10002" width="3.42578125" bestFit="1" customWidth="1"/>
    <col min="10003" max="10003" width="11.5703125" bestFit="1" customWidth="1"/>
    <col min="10004" max="10004" width="7.7109375" bestFit="1" customWidth="1"/>
    <col min="10005" max="10005" width="4.7109375" bestFit="1" customWidth="1"/>
    <col min="10006" max="10006" width="5.7109375" customWidth="1"/>
    <col min="10007" max="10007" width="5.28515625" bestFit="1" customWidth="1"/>
    <col min="10008" max="10008" width="17.42578125" bestFit="1" customWidth="1"/>
    <col min="10009" max="10009" width="13" bestFit="1" customWidth="1"/>
    <col min="10010" max="10010" width="24.5703125" bestFit="1" customWidth="1"/>
    <col min="10011" max="10011" width="37.42578125" bestFit="1" customWidth="1"/>
    <col min="10012" max="10012" width="30.7109375" bestFit="1" customWidth="1"/>
    <col min="10013" max="10013" width="21.28515625" bestFit="1" customWidth="1"/>
    <col min="10014" max="10014" width="25.5703125" bestFit="1" customWidth="1"/>
    <col min="10015" max="10015" width="30" bestFit="1" customWidth="1"/>
    <col min="10016" max="10016" width="31.28515625" bestFit="1" customWidth="1"/>
    <col min="10017" max="10017" width="21.7109375" bestFit="1" customWidth="1"/>
    <col min="10018" max="10019" width="21.28515625" bestFit="1" customWidth="1"/>
    <col min="10020" max="10020" width="20.28515625" bestFit="1" customWidth="1"/>
    <col min="10241" max="10241" width="3.7109375" bestFit="1" customWidth="1"/>
    <col min="10242" max="10242" width="5.28515625" bestFit="1" customWidth="1"/>
    <col min="10243" max="10243" width="30.28515625" bestFit="1" customWidth="1"/>
    <col min="10244" max="10244" width="11.5703125" bestFit="1" customWidth="1"/>
    <col min="10245" max="10245" width="10.42578125" bestFit="1" customWidth="1"/>
    <col min="10246" max="10246" width="10.7109375" bestFit="1" customWidth="1"/>
    <col min="10247" max="10247" width="14.7109375" bestFit="1" customWidth="1"/>
    <col min="10248" max="10251" width="11.5703125" bestFit="1" customWidth="1"/>
    <col min="10252" max="10252" width="10.7109375" bestFit="1" customWidth="1"/>
    <col min="10253" max="10253" width="11.28515625" customWidth="1"/>
    <col min="10254" max="10254" width="11.28515625" bestFit="1" customWidth="1"/>
    <col min="10255" max="10257" width="11.5703125" bestFit="1" customWidth="1"/>
    <col min="10258" max="10258" width="3.42578125" bestFit="1" customWidth="1"/>
    <col min="10259" max="10259" width="11.5703125" bestFit="1" customWidth="1"/>
    <col min="10260" max="10260" width="7.7109375" bestFit="1" customWidth="1"/>
    <col min="10261" max="10261" width="4.7109375" bestFit="1" customWidth="1"/>
    <col min="10262" max="10262" width="5.7109375" customWidth="1"/>
    <col min="10263" max="10263" width="5.28515625" bestFit="1" customWidth="1"/>
    <col min="10264" max="10264" width="17.42578125" bestFit="1" customWidth="1"/>
    <col min="10265" max="10265" width="13" bestFit="1" customWidth="1"/>
    <col min="10266" max="10266" width="24.5703125" bestFit="1" customWidth="1"/>
    <col min="10267" max="10267" width="37.42578125" bestFit="1" customWidth="1"/>
    <col min="10268" max="10268" width="30.7109375" bestFit="1" customWidth="1"/>
    <col min="10269" max="10269" width="21.28515625" bestFit="1" customWidth="1"/>
    <col min="10270" max="10270" width="25.5703125" bestFit="1" customWidth="1"/>
    <col min="10271" max="10271" width="30" bestFit="1" customWidth="1"/>
    <col min="10272" max="10272" width="31.28515625" bestFit="1" customWidth="1"/>
    <col min="10273" max="10273" width="21.7109375" bestFit="1" customWidth="1"/>
    <col min="10274" max="10275" width="21.28515625" bestFit="1" customWidth="1"/>
    <col min="10276" max="10276" width="20.28515625" bestFit="1" customWidth="1"/>
    <col min="10497" max="10497" width="3.7109375" bestFit="1" customWidth="1"/>
    <col min="10498" max="10498" width="5.28515625" bestFit="1" customWidth="1"/>
    <col min="10499" max="10499" width="30.28515625" bestFit="1" customWidth="1"/>
    <col min="10500" max="10500" width="11.5703125" bestFit="1" customWidth="1"/>
    <col min="10501" max="10501" width="10.42578125" bestFit="1" customWidth="1"/>
    <col min="10502" max="10502" width="10.7109375" bestFit="1" customWidth="1"/>
    <col min="10503" max="10503" width="14.7109375" bestFit="1" customWidth="1"/>
    <col min="10504" max="10507" width="11.5703125" bestFit="1" customWidth="1"/>
    <col min="10508" max="10508" width="10.7109375" bestFit="1" customWidth="1"/>
    <col min="10509" max="10509" width="11.28515625" customWidth="1"/>
    <col min="10510" max="10510" width="11.28515625" bestFit="1" customWidth="1"/>
    <col min="10511" max="10513" width="11.5703125" bestFit="1" customWidth="1"/>
    <col min="10514" max="10514" width="3.42578125" bestFit="1" customWidth="1"/>
    <col min="10515" max="10515" width="11.5703125" bestFit="1" customWidth="1"/>
    <col min="10516" max="10516" width="7.7109375" bestFit="1" customWidth="1"/>
    <col min="10517" max="10517" width="4.7109375" bestFit="1" customWidth="1"/>
    <col min="10518" max="10518" width="5.7109375" customWidth="1"/>
    <col min="10519" max="10519" width="5.28515625" bestFit="1" customWidth="1"/>
    <col min="10520" max="10520" width="17.42578125" bestFit="1" customWidth="1"/>
    <col min="10521" max="10521" width="13" bestFit="1" customWidth="1"/>
    <col min="10522" max="10522" width="24.5703125" bestFit="1" customWidth="1"/>
    <col min="10523" max="10523" width="37.42578125" bestFit="1" customWidth="1"/>
    <col min="10524" max="10524" width="30.7109375" bestFit="1" customWidth="1"/>
    <col min="10525" max="10525" width="21.28515625" bestFit="1" customWidth="1"/>
    <col min="10526" max="10526" width="25.5703125" bestFit="1" customWidth="1"/>
    <col min="10527" max="10527" width="30" bestFit="1" customWidth="1"/>
    <col min="10528" max="10528" width="31.28515625" bestFit="1" customWidth="1"/>
    <col min="10529" max="10529" width="21.7109375" bestFit="1" customWidth="1"/>
    <col min="10530" max="10531" width="21.28515625" bestFit="1" customWidth="1"/>
    <col min="10532" max="10532" width="20.28515625" bestFit="1" customWidth="1"/>
    <col min="10753" max="10753" width="3.7109375" bestFit="1" customWidth="1"/>
    <col min="10754" max="10754" width="5.28515625" bestFit="1" customWidth="1"/>
    <col min="10755" max="10755" width="30.28515625" bestFit="1" customWidth="1"/>
    <col min="10756" max="10756" width="11.5703125" bestFit="1" customWidth="1"/>
    <col min="10757" max="10757" width="10.42578125" bestFit="1" customWidth="1"/>
    <col min="10758" max="10758" width="10.7109375" bestFit="1" customWidth="1"/>
    <col min="10759" max="10759" width="14.7109375" bestFit="1" customWidth="1"/>
    <col min="10760" max="10763" width="11.5703125" bestFit="1" customWidth="1"/>
    <col min="10764" max="10764" width="10.7109375" bestFit="1" customWidth="1"/>
    <col min="10765" max="10765" width="11.28515625" customWidth="1"/>
    <col min="10766" max="10766" width="11.28515625" bestFit="1" customWidth="1"/>
    <col min="10767" max="10769" width="11.5703125" bestFit="1" customWidth="1"/>
    <col min="10770" max="10770" width="3.42578125" bestFit="1" customWidth="1"/>
    <col min="10771" max="10771" width="11.5703125" bestFit="1" customWidth="1"/>
    <col min="10772" max="10772" width="7.7109375" bestFit="1" customWidth="1"/>
    <col min="10773" max="10773" width="4.7109375" bestFit="1" customWidth="1"/>
    <col min="10774" max="10774" width="5.7109375" customWidth="1"/>
    <col min="10775" max="10775" width="5.28515625" bestFit="1" customWidth="1"/>
    <col min="10776" max="10776" width="17.42578125" bestFit="1" customWidth="1"/>
    <col min="10777" max="10777" width="13" bestFit="1" customWidth="1"/>
    <col min="10778" max="10778" width="24.5703125" bestFit="1" customWidth="1"/>
    <col min="10779" max="10779" width="37.42578125" bestFit="1" customWidth="1"/>
    <col min="10780" max="10780" width="30.7109375" bestFit="1" customWidth="1"/>
    <col min="10781" max="10781" width="21.28515625" bestFit="1" customWidth="1"/>
    <col min="10782" max="10782" width="25.5703125" bestFit="1" customWidth="1"/>
    <col min="10783" max="10783" width="30" bestFit="1" customWidth="1"/>
    <col min="10784" max="10784" width="31.28515625" bestFit="1" customWidth="1"/>
    <col min="10785" max="10785" width="21.7109375" bestFit="1" customWidth="1"/>
    <col min="10786" max="10787" width="21.28515625" bestFit="1" customWidth="1"/>
    <col min="10788" max="10788" width="20.28515625" bestFit="1" customWidth="1"/>
    <col min="11009" max="11009" width="3.7109375" bestFit="1" customWidth="1"/>
    <col min="11010" max="11010" width="5.28515625" bestFit="1" customWidth="1"/>
    <col min="11011" max="11011" width="30.28515625" bestFit="1" customWidth="1"/>
    <col min="11012" max="11012" width="11.5703125" bestFit="1" customWidth="1"/>
    <col min="11013" max="11013" width="10.42578125" bestFit="1" customWidth="1"/>
    <col min="11014" max="11014" width="10.7109375" bestFit="1" customWidth="1"/>
    <col min="11015" max="11015" width="14.7109375" bestFit="1" customWidth="1"/>
    <col min="11016" max="11019" width="11.5703125" bestFit="1" customWidth="1"/>
    <col min="11020" max="11020" width="10.7109375" bestFit="1" customWidth="1"/>
    <col min="11021" max="11021" width="11.28515625" customWidth="1"/>
    <col min="11022" max="11022" width="11.28515625" bestFit="1" customWidth="1"/>
    <col min="11023" max="11025" width="11.5703125" bestFit="1" customWidth="1"/>
    <col min="11026" max="11026" width="3.42578125" bestFit="1" customWidth="1"/>
    <col min="11027" max="11027" width="11.5703125" bestFit="1" customWidth="1"/>
    <col min="11028" max="11028" width="7.7109375" bestFit="1" customWidth="1"/>
    <col min="11029" max="11029" width="4.7109375" bestFit="1" customWidth="1"/>
    <col min="11030" max="11030" width="5.7109375" customWidth="1"/>
    <col min="11031" max="11031" width="5.28515625" bestFit="1" customWidth="1"/>
    <col min="11032" max="11032" width="17.42578125" bestFit="1" customWidth="1"/>
    <col min="11033" max="11033" width="13" bestFit="1" customWidth="1"/>
    <col min="11034" max="11034" width="24.5703125" bestFit="1" customWidth="1"/>
    <col min="11035" max="11035" width="37.42578125" bestFit="1" customWidth="1"/>
    <col min="11036" max="11036" width="30.7109375" bestFit="1" customWidth="1"/>
    <col min="11037" max="11037" width="21.28515625" bestFit="1" customWidth="1"/>
    <col min="11038" max="11038" width="25.5703125" bestFit="1" customWidth="1"/>
    <col min="11039" max="11039" width="30" bestFit="1" customWidth="1"/>
    <col min="11040" max="11040" width="31.28515625" bestFit="1" customWidth="1"/>
    <col min="11041" max="11041" width="21.7109375" bestFit="1" customWidth="1"/>
    <col min="11042" max="11043" width="21.28515625" bestFit="1" customWidth="1"/>
    <col min="11044" max="11044" width="20.28515625" bestFit="1" customWidth="1"/>
    <col min="11265" max="11265" width="3.7109375" bestFit="1" customWidth="1"/>
    <col min="11266" max="11266" width="5.28515625" bestFit="1" customWidth="1"/>
    <col min="11267" max="11267" width="30.28515625" bestFit="1" customWidth="1"/>
    <col min="11268" max="11268" width="11.5703125" bestFit="1" customWidth="1"/>
    <col min="11269" max="11269" width="10.42578125" bestFit="1" customWidth="1"/>
    <col min="11270" max="11270" width="10.7109375" bestFit="1" customWidth="1"/>
    <col min="11271" max="11271" width="14.7109375" bestFit="1" customWidth="1"/>
    <col min="11272" max="11275" width="11.5703125" bestFit="1" customWidth="1"/>
    <col min="11276" max="11276" width="10.7109375" bestFit="1" customWidth="1"/>
    <col min="11277" max="11277" width="11.28515625" customWidth="1"/>
    <col min="11278" max="11278" width="11.28515625" bestFit="1" customWidth="1"/>
    <col min="11279" max="11281" width="11.5703125" bestFit="1" customWidth="1"/>
    <col min="11282" max="11282" width="3.42578125" bestFit="1" customWidth="1"/>
    <col min="11283" max="11283" width="11.5703125" bestFit="1" customWidth="1"/>
    <col min="11284" max="11284" width="7.7109375" bestFit="1" customWidth="1"/>
    <col min="11285" max="11285" width="4.7109375" bestFit="1" customWidth="1"/>
    <col min="11286" max="11286" width="5.7109375" customWidth="1"/>
    <col min="11287" max="11287" width="5.28515625" bestFit="1" customWidth="1"/>
    <col min="11288" max="11288" width="17.42578125" bestFit="1" customWidth="1"/>
    <col min="11289" max="11289" width="13" bestFit="1" customWidth="1"/>
    <col min="11290" max="11290" width="24.5703125" bestFit="1" customWidth="1"/>
    <col min="11291" max="11291" width="37.42578125" bestFit="1" customWidth="1"/>
    <col min="11292" max="11292" width="30.7109375" bestFit="1" customWidth="1"/>
    <col min="11293" max="11293" width="21.28515625" bestFit="1" customWidth="1"/>
    <col min="11294" max="11294" width="25.5703125" bestFit="1" customWidth="1"/>
    <col min="11295" max="11295" width="30" bestFit="1" customWidth="1"/>
    <col min="11296" max="11296" width="31.28515625" bestFit="1" customWidth="1"/>
    <col min="11297" max="11297" width="21.7109375" bestFit="1" customWidth="1"/>
    <col min="11298" max="11299" width="21.28515625" bestFit="1" customWidth="1"/>
    <col min="11300" max="11300" width="20.28515625" bestFit="1" customWidth="1"/>
    <col min="11521" max="11521" width="3.7109375" bestFit="1" customWidth="1"/>
    <col min="11522" max="11522" width="5.28515625" bestFit="1" customWidth="1"/>
    <col min="11523" max="11523" width="30.28515625" bestFit="1" customWidth="1"/>
    <col min="11524" max="11524" width="11.5703125" bestFit="1" customWidth="1"/>
    <col min="11525" max="11525" width="10.42578125" bestFit="1" customWidth="1"/>
    <col min="11526" max="11526" width="10.7109375" bestFit="1" customWidth="1"/>
    <col min="11527" max="11527" width="14.7109375" bestFit="1" customWidth="1"/>
    <col min="11528" max="11531" width="11.5703125" bestFit="1" customWidth="1"/>
    <col min="11532" max="11532" width="10.7109375" bestFit="1" customWidth="1"/>
    <col min="11533" max="11533" width="11.28515625" customWidth="1"/>
    <col min="11534" max="11534" width="11.28515625" bestFit="1" customWidth="1"/>
    <col min="11535" max="11537" width="11.5703125" bestFit="1" customWidth="1"/>
    <col min="11538" max="11538" width="3.42578125" bestFit="1" customWidth="1"/>
    <col min="11539" max="11539" width="11.5703125" bestFit="1" customWidth="1"/>
    <col min="11540" max="11540" width="7.7109375" bestFit="1" customWidth="1"/>
    <col min="11541" max="11541" width="4.7109375" bestFit="1" customWidth="1"/>
    <col min="11542" max="11542" width="5.7109375" customWidth="1"/>
    <col min="11543" max="11543" width="5.28515625" bestFit="1" customWidth="1"/>
    <col min="11544" max="11544" width="17.42578125" bestFit="1" customWidth="1"/>
    <col min="11545" max="11545" width="13" bestFit="1" customWidth="1"/>
    <col min="11546" max="11546" width="24.5703125" bestFit="1" customWidth="1"/>
    <col min="11547" max="11547" width="37.42578125" bestFit="1" customWidth="1"/>
    <col min="11548" max="11548" width="30.7109375" bestFit="1" customWidth="1"/>
    <col min="11549" max="11549" width="21.28515625" bestFit="1" customWidth="1"/>
    <col min="11550" max="11550" width="25.5703125" bestFit="1" customWidth="1"/>
    <col min="11551" max="11551" width="30" bestFit="1" customWidth="1"/>
    <col min="11552" max="11552" width="31.28515625" bestFit="1" customWidth="1"/>
    <col min="11553" max="11553" width="21.7109375" bestFit="1" customWidth="1"/>
    <col min="11554" max="11555" width="21.28515625" bestFit="1" customWidth="1"/>
    <col min="11556" max="11556" width="20.28515625" bestFit="1" customWidth="1"/>
    <col min="11777" max="11777" width="3.7109375" bestFit="1" customWidth="1"/>
    <col min="11778" max="11778" width="5.28515625" bestFit="1" customWidth="1"/>
    <col min="11779" max="11779" width="30.28515625" bestFit="1" customWidth="1"/>
    <col min="11780" max="11780" width="11.5703125" bestFit="1" customWidth="1"/>
    <col min="11781" max="11781" width="10.42578125" bestFit="1" customWidth="1"/>
    <col min="11782" max="11782" width="10.7109375" bestFit="1" customWidth="1"/>
    <col min="11783" max="11783" width="14.7109375" bestFit="1" customWidth="1"/>
    <col min="11784" max="11787" width="11.5703125" bestFit="1" customWidth="1"/>
    <col min="11788" max="11788" width="10.7109375" bestFit="1" customWidth="1"/>
    <col min="11789" max="11789" width="11.28515625" customWidth="1"/>
    <col min="11790" max="11790" width="11.28515625" bestFit="1" customWidth="1"/>
    <col min="11791" max="11793" width="11.5703125" bestFit="1" customWidth="1"/>
    <col min="11794" max="11794" width="3.42578125" bestFit="1" customWidth="1"/>
    <col min="11795" max="11795" width="11.5703125" bestFit="1" customWidth="1"/>
    <col min="11796" max="11796" width="7.7109375" bestFit="1" customWidth="1"/>
    <col min="11797" max="11797" width="4.7109375" bestFit="1" customWidth="1"/>
    <col min="11798" max="11798" width="5.7109375" customWidth="1"/>
    <col min="11799" max="11799" width="5.28515625" bestFit="1" customWidth="1"/>
    <col min="11800" max="11800" width="17.42578125" bestFit="1" customWidth="1"/>
    <col min="11801" max="11801" width="13" bestFit="1" customWidth="1"/>
    <col min="11802" max="11802" width="24.5703125" bestFit="1" customWidth="1"/>
    <col min="11803" max="11803" width="37.42578125" bestFit="1" customWidth="1"/>
    <col min="11804" max="11804" width="30.7109375" bestFit="1" customWidth="1"/>
    <col min="11805" max="11805" width="21.28515625" bestFit="1" customWidth="1"/>
    <col min="11806" max="11806" width="25.5703125" bestFit="1" customWidth="1"/>
    <col min="11807" max="11807" width="30" bestFit="1" customWidth="1"/>
    <col min="11808" max="11808" width="31.28515625" bestFit="1" customWidth="1"/>
    <col min="11809" max="11809" width="21.7109375" bestFit="1" customWidth="1"/>
    <col min="11810" max="11811" width="21.28515625" bestFit="1" customWidth="1"/>
    <col min="11812" max="11812" width="20.28515625" bestFit="1" customWidth="1"/>
    <col min="12033" max="12033" width="3.7109375" bestFit="1" customWidth="1"/>
    <col min="12034" max="12034" width="5.28515625" bestFit="1" customWidth="1"/>
    <col min="12035" max="12035" width="30.28515625" bestFit="1" customWidth="1"/>
    <col min="12036" max="12036" width="11.5703125" bestFit="1" customWidth="1"/>
    <col min="12037" max="12037" width="10.42578125" bestFit="1" customWidth="1"/>
    <col min="12038" max="12038" width="10.7109375" bestFit="1" customWidth="1"/>
    <col min="12039" max="12039" width="14.7109375" bestFit="1" customWidth="1"/>
    <col min="12040" max="12043" width="11.5703125" bestFit="1" customWidth="1"/>
    <col min="12044" max="12044" width="10.7109375" bestFit="1" customWidth="1"/>
    <col min="12045" max="12045" width="11.28515625" customWidth="1"/>
    <col min="12046" max="12046" width="11.28515625" bestFit="1" customWidth="1"/>
    <col min="12047" max="12049" width="11.5703125" bestFit="1" customWidth="1"/>
    <col min="12050" max="12050" width="3.42578125" bestFit="1" customWidth="1"/>
    <col min="12051" max="12051" width="11.5703125" bestFit="1" customWidth="1"/>
    <col min="12052" max="12052" width="7.7109375" bestFit="1" customWidth="1"/>
    <col min="12053" max="12053" width="4.7109375" bestFit="1" customWidth="1"/>
    <col min="12054" max="12054" width="5.7109375" customWidth="1"/>
    <col min="12055" max="12055" width="5.28515625" bestFit="1" customWidth="1"/>
    <col min="12056" max="12056" width="17.42578125" bestFit="1" customWidth="1"/>
    <col min="12057" max="12057" width="13" bestFit="1" customWidth="1"/>
    <col min="12058" max="12058" width="24.5703125" bestFit="1" customWidth="1"/>
    <col min="12059" max="12059" width="37.42578125" bestFit="1" customWidth="1"/>
    <col min="12060" max="12060" width="30.7109375" bestFit="1" customWidth="1"/>
    <col min="12061" max="12061" width="21.28515625" bestFit="1" customWidth="1"/>
    <col min="12062" max="12062" width="25.5703125" bestFit="1" customWidth="1"/>
    <col min="12063" max="12063" width="30" bestFit="1" customWidth="1"/>
    <col min="12064" max="12064" width="31.28515625" bestFit="1" customWidth="1"/>
    <col min="12065" max="12065" width="21.7109375" bestFit="1" customWidth="1"/>
    <col min="12066" max="12067" width="21.28515625" bestFit="1" customWidth="1"/>
    <col min="12068" max="12068" width="20.28515625" bestFit="1" customWidth="1"/>
    <col min="12289" max="12289" width="3.7109375" bestFit="1" customWidth="1"/>
    <col min="12290" max="12290" width="5.28515625" bestFit="1" customWidth="1"/>
    <col min="12291" max="12291" width="30.28515625" bestFit="1" customWidth="1"/>
    <col min="12292" max="12292" width="11.5703125" bestFit="1" customWidth="1"/>
    <col min="12293" max="12293" width="10.42578125" bestFit="1" customWidth="1"/>
    <col min="12294" max="12294" width="10.7109375" bestFit="1" customWidth="1"/>
    <col min="12295" max="12295" width="14.7109375" bestFit="1" customWidth="1"/>
    <col min="12296" max="12299" width="11.5703125" bestFit="1" customWidth="1"/>
    <col min="12300" max="12300" width="10.7109375" bestFit="1" customWidth="1"/>
    <col min="12301" max="12301" width="11.28515625" customWidth="1"/>
    <col min="12302" max="12302" width="11.28515625" bestFit="1" customWidth="1"/>
    <col min="12303" max="12305" width="11.5703125" bestFit="1" customWidth="1"/>
    <col min="12306" max="12306" width="3.42578125" bestFit="1" customWidth="1"/>
    <col min="12307" max="12307" width="11.5703125" bestFit="1" customWidth="1"/>
    <col min="12308" max="12308" width="7.7109375" bestFit="1" customWidth="1"/>
    <col min="12309" max="12309" width="4.7109375" bestFit="1" customWidth="1"/>
    <col min="12310" max="12310" width="5.7109375" customWidth="1"/>
    <col min="12311" max="12311" width="5.28515625" bestFit="1" customWidth="1"/>
    <col min="12312" max="12312" width="17.42578125" bestFit="1" customWidth="1"/>
    <col min="12313" max="12313" width="13" bestFit="1" customWidth="1"/>
    <col min="12314" max="12314" width="24.5703125" bestFit="1" customWidth="1"/>
    <col min="12315" max="12315" width="37.42578125" bestFit="1" customWidth="1"/>
    <col min="12316" max="12316" width="30.7109375" bestFit="1" customWidth="1"/>
    <col min="12317" max="12317" width="21.28515625" bestFit="1" customWidth="1"/>
    <col min="12318" max="12318" width="25.5703125" bestFit="1" customWidth="1"/>
    <col min="12319" max="12319" width="30" bestFit="1" customWidth="1"/>
    <col min="12320" max="12320" width="31.28515625" bestFit="1" customWidth="1"/>
    <col min="12321" max="12321" width="21.7109375" bestFit="1" customWidth="1"/>
    <col min="12322" max="12323" width="21.28515625" bestFit="1" customWidth="1"/>
    <col min="12324" max="12324" width="20.28515625" bestFit="1" customWidth="1"/>
    <col min="12545" max="12545" width="3.7109375" bestFit="1" customWidth="1"/>
    <col min="12546" max="12546" width="5.28515625" bestFit="1" customWidth="1"/>
    <col min="12547" max="12547" width="30.28515625" bestFit="1" customWidth="1"/>
    <col min="12548" max="12548" width="11.5703125" bestFit="1" customWidth="1"/>
    <col min="12549" max="12549" width="10.42578125" bestFit="1" customWidth="1"/>
    <col min="12550" max="12550" width="10.7109375" bestFit="1" customWidth="1"/>
    <col min="12551" max="12551" width="14.7109375" bestFit="1" customWidth="1"/>
    <col min="12552" max="12555" width="11.5703125" bestFit="1" customWidth="1"/>
    <col min="12556" max="12556" width="10.7109375" bestFit="1" customWidth="1"/>
    <col min="12557" max="12557" width="11.28515625" customWidth="1"/>
    <col min="12558" max="12558" width="11.28515625" bestFit="1" customWidth="1"/>
    <col min="12559" max="12561" width="11.5703125" bestFit="1" customWidth="1"/>
    <col min="12562" max="12562" width="3.42578125" bestFit="1" customWidth="1"/>
    <col min="12563" max="12563" width="11.5703125" bestFit="1" customWidth="1"/>
    <col min="12564" max="12564" width="7.7109375" bestFit="1" customWidth="1"/>
    <col min="12565" max="12565" width="4.7109375" bestFit="1" customWidth="1"/>
    <col min="12566" max="12566" width="5.7109375" customWidth="1"/>
    <col min="12567" max="12567" width="5.28515625" bestFit="1" customWidth="1"/>
    <col min="12568" max="12568" width="17.42578125" bestFit="1" customWidth="1"/>
    <col min="12569" max="12569" width="13" bestFit="1" customWidth="1"/>
    <col min="12570" max="12570" width="24.5703125" bestFit="1" customWidth="1"/>
    <col min="12571" max="12571" width="37.42578125" bestFit="1" customWidth="1"/>
    <col min="12572" max="12572" width="30.7109375" bestFit="1" customWidth="1"/>
    <col min="12573" max="12573" width="21.28515625" bestFit="1" customWidth="1"/>
    <col min="12574" max="12574" width="25.5703125" bestFit="1" customWidth="1"/>
    <col min="12575" max="12575" width="30" bestFit="1" customWidth="1"/>
    <col min="12576" max="12576" width="31.28515625" bestFit="1" customWidth="1"/>
    <col min="12577" max="12577" width="21.7109375" bestFit="1" customWidth="1"/>
    <col min="12578" max="12579" width="21.28515625" bestFit="1" customWidth="1"/>
    <col min="12580" max="12580" width="20.28515625" bestFit="1" customWidth="1"/>
    <col min="12801" max="12801" width="3.7109375" bestFit="1" customWidth="1"/>
    <col min="12802" max="12802" width="5.28515625" bestFit="1" customWidth="1"/>
    <col min="12803" max="12803" width="30.28515625" bestFit="1" customWidth="1"/>
    <col min="12804" max="12804" width="11.5703125" bestFit="1" customWidth="1"/>
    <col min="12805" max="12805" width="10.42578125" bestFit="1" customWidth="1"/>
    <col min="12806" max="12806" width="10.7109375" bestFit="1" customWidth="1"/>
    <col min="12807" max="12807" width="14.7109375" bestFit="1" customWidth="1"/>
    <col min="12808" max="12811" width="11.5703125" bestFit="1" customWidth="1"/>
    <col min="12812" max="12812" width="10.7109375" bestFit="1" customWidth="1"/>
    <col min="12813" max="12813" width="11.28515625" customWidth="1"/>
    <col min="12814" max="12814" width="11.28515625" bestFit="1" customWidth="1"/>
    <col min="12815" max="12817" width="11.5703125" bestFit="1" customWidth="1"/>
    <col min="12818" max="12818" width="3.42578125" bestFit="1" customWidth="1"/>
    <col min="12819" max="12819" width="11.5703125" bestFit="1" customWidth="1"/>
    <col min="12820" max="12820" width="7.7109375" bestFit="1" customWidth="1"/>
    <col min="12821" max="12821" width="4.7109375" bestFit="1" customWidth="1"/>
    <col min="12822" max="12822" width="5.7109375" customWidth="1"/>
    <col min="12823" max="12823" width="5.28515625" bestFit="1" customWidth="1"/>
    <col min="12824" max="12824" width="17.42578125" bestFit="1" customWidth="1"/>
    <col min="12825" max="12825" width="13" bestFit="1" customWidth="1"/>
    <col min="12826" max="12826" width="24.5703125" bestFit="1" customWidth="1"/>
    <col min="12827" max="12827" width="37.42578125" bestFit="1" customWidth="1"/>
    <col min="12828" max="12828" width="30.7109375" bestFit="1" customWidth="1"/>
    <col min="12829" max="12829" width="21.28515625" bestFit="1" customWidth="1"/>
    <col min="12830" max="12830" width="25.5703125" bestFit="1" customWidth="1"/>
    <col min="12831" max="12831" width="30" bestFit="1" customWidth="1"/>
    <col min="12832" max="12832" width="31.28515625" bestFit="1" customWidth="1"/>
    <col min="12833" max="12833" width="21.7109375" bestFit="1" customWidth="1"/>
    <col min="12834" max="12835" width="21.28515625" bestFit="1" customWidth="1"/>
    <col min="12836" max="12836" width="20.28515625" bestFit="1" customWidth="1"/>
    <col min="13057" max="13057" width="3.7109375" bestFit="1" customWidth="1"/>
    <col min="13058" max="13058" width="5.28515625" bestFit="1" customWidth="1"/>
    <col min="13059" max="13059" width="30.28515625" bestFit="1" customWidth="1"/>
    <col min="13060" max="13060" width="11.5703125" bestFit="1" customWidth="1"/>
    <col min="13061" max="13061" width="10.42578125" bestFit="1" customWidth="1"/>
    <col min="13062" max="13062" width="10.7109375" bestFit="1" customWidth="1"/>
    <col min="13063" max="13063" width="14.7109375" bestFit="1" customWidth="1"/>
    <col min="13064" max="13067" width="11.5703125" bestFit="1" customWidth="1"/>
    <col min="13068" max="13068" width="10.7109375" bestFit="1" customWidth="1"/>
    <col min="13069" max="13069" width="11.28515625" customWidth="1"/>
    <col min="13070" max="13070" width="11.28515625" bestFit="1" customWidth="1"/>
    <col min="13071" max="13073" width="11.5703125" bestFit="1" customWidth="1"/>
    <col min="13074" max="13074" width="3.42578125" bestFit="1" customWidth="1"/>
    <col min="13075" max="13075" width="11.5703125" bestFit="1" customWidth="1"/>
    <col min="13076" max="13076" width="7.7109375" bestFit="1" customWidth="1"/>
    <col min="13077" max="13077" width="4.7109375" bestFit="1" customWidth="1"/>
    <col min="13078" max="13078" width="5.7109375" customWidth="1"/>
    <col min="13079" max="13079" width="5.28515625" bestFit="1" customWidth="1"/>
    <col min="13080" max="13080" width="17.42578125" bestFit="1" customWidth="1"/>
    <col min="13081" max="13081" width="13" bestFit="1" customWidth="1"/>
    <col min="13082" max="13082" width="24.5703125" bestFit="1" customWidth="1"/>
    <col min="13083" max="13083" width="37.42578125" bestFit="1" customWidth="1"/>
    <col min="13084" max="13084" width="30.7109375" bestFit="1" customWidth="1"/>
    <col min="13085" max="13085" width="21.28515625" bestFit="1" customWidth="1"/>
    <col min="13086" max="13086" width="25.5703125" bestFit="1" customWidth="1"/>
    <col min="13087" max="13087" width="30" bestFit="1" customWidth="1"/>
    <col min="13088" max="13088" width="31.28515625" bestFit="1" customWidth="1"/>
    <col min="13089" max="13089" width="21.7109375" bestFit="1" customWidth="1"/>
    <col min="13090" max="13091" width="21.28515625" bestFit="1" customWidth="1"/>
    <col min="13092" max="13092" width="20.28515625" bestFit="1" customWidth="1"/>
    <col min="13313" max="13313" width="3.7109375" bestFit="1" customWidth="1"/>
    <col min="13314" max="13314" width="5.28515625" bestFit="1" customWidth="1"/>
    <col min="13315" max="13315" width="30.28515625" bestFit="1" customWidth="1"/>
    <col min="13316" max="13316" width="11.5703125" bestFit="1" customWidth="1"/>
    <col min="13317" max="13317" width="10.42578125" bestFit="1" customWidth="1"/>
    <col min="13318" max="13318" width="10.7109375" bestFit="1" customWidth="1"/>
    <col min="13319" max="13319" width="14.7109375" bestFit="1" customWidth="1"/>
    <col min="13320" max="13323" width="11.5703125" bestFit="1" customWidth="1"/>
    <col min="13324" max="13324" width="10.7109375" bestFit="1" customWidth="1"/>
    <col min="13325" max="13325" width="11.28515625" customWidth="1"/>
    <col min="13326" max="13326" width="11.28515625" bestFit="1" customWidth="1"/>
    <col min="13327" max="13329" width="11.5703125" bestFit="1" customWidth="1"/>
    <col min="13330" max="13330" width="3.42578125" bestFit="1" customWidth="1"/>
    <col min="13331" max="13331" width="11.5703125" bestFit="1" customWidth="1"/>
    <col min="13332" max="13332" width="7.7109375" bestFit="1" customWidth="1"/>
    <col min="13333" max="13333" width="4.7109375" bestFit="1" customWidth="1"/>
    <col min="13334" max="13334" width="5.7109375" customWidth="1"/>
    <col min="13335" max="13335" width="5.28515625" bestFit="1" customWidth="1"/>
    <col min="13336" max="13336" width="17.42578125" bestFit="1" customWidth="1"/>
    <col min="13337" max="13337" width="13" bestFit="1" customWidth="1"/>
    <col min="13338" max="13338" width="24.5703125" bestFit="1" customWidth="1"/>
    <col min="13339" max="13339" width="37.42578125" bestFit="1" customWidth="1"/>
    <col min="13340" max="13340" width="30.7109375" bestFit="1" customWidth="1"/>
    <col min="13341" max="13341" width="21.28515625" bestFit="1" customWidth="1"/>
    <col min="13342" max="13342" width="25.5703125" bestFit="1" customWidth="1"/>
    <col min="13343" max="13343" width="30" bestFit="1" customWidth="1"/>
    <col min="13344" max="13344" width="31.28515625" bestFit="1" customWidth="1"/>
    <col min="13345" max="13345" width="21.7109375" bestFit="1" customWidth="1"/>
    <col min="13346" max="13347" width="21.28515625" bestFit="1" customWidth="1"/>
    <col min="13348" max="13348" width="20.28515625" bestFit="1" customWidth="1"/>
    <col min="13569" max="13569" width="3.7109375" bestFit="1" customWidth="1"/>
    <col min="13570" max="13570" width="5.28515625" bestFit="1" customWidth="1"/>
    <col min="13571" max="13571" width="30.28515625" bestFit="1" customWidth="1"/>
    <col min="13572" max="13572" width="11.5703125" bestFit="1" customWidth="1"/>
    <col min="13573" max="13573" width="10.42578125" bestFit="1" customWidth="1"/>
    <col min="13574" max="13574" width="10.7109375" bestFit="1" customWidth="1"/>
    <col min="13575" max="13575" width="14.7109375" bestFit="1" customWidth="1"/>
    <col min="13576" max="13579" width="11.5703125" bestFit="1" customWidth="1"/>
    <col min="13580" max="13580" width="10.7109375" bestFit="1" customWidth="1"/>
    <col min="13581" max="13581" width="11.28515625" customWidth="1"/>
    <col min="13582" max="13582" width="11.28515625" bestFit="1" customWidth="1"/>
    <col min="13583" max="13585" width="11.5703125" bestFit="1" customWidth="1"/>
    <col min="13586" max="13586" width="3.42578125" bestFit="1" customWidth="1"/>
    <col min="13587" max="13587" width="11.5703125" bestFit="1" customWidth="1"/>
    <col min="13588" max="13588" width="7.7109375" bestFit="1" customWidth="1"/>
    <col min="13589" max="13589" width="4.7109375" bestFit="1" customWidth="1"/>
    <col min="13590" max="13590" width="5.7109375" customWidth="1"/>
    <col min="13591" max="13591" width="5.28515625" bestFit="1" customWidth="1"/>
    <col min="13592" max="13592" width="17.42578125" bestFit="1" customWidth="1"/>
    <col min="13593" max="13593" width="13" bestFit="1" customWidth="1"/>
    <col min="13594" max="13594" width="24.5703125" bestFit="1" customWidth="1"/>
    <col min="13595" max="13595" width="37.42578125" bestFit="1" customWidth="1"/>
    <col min="13596" max="13596" width="30.7109375" bestFit="1" customWidth="1"/>
    <col min="13597" max="13597" width="21.28515625" bestFit="1" customWidth="1"/>
    <col min="13598" max="13598" width="25.5703125" bestFit="1" customWidth="1"/>
    <col min="13599" max="13599" width="30" bestFit="1" customWidth="1"/>
    <col min="13600" max="13600" width="31.28515625" bestFit="1" customWidth="1"/>
    <col min="13601" max="13601" width="21.7109375" bestFit="1" customWidth="1"/>
    <col min="13602" max="13603" width="21.28515625" bestFit="1" customWidth="1"/>
    <col min="13604" max="13604" width="20.28515625" bestFit="1" customWidth="1"/>
    <col min="13825" max="13825" width="3.7109375" bestFit="1" customWidth="1"/>
    <col min="13826" max="13826" width="5.28515625" bestFit="1" customWidth="1"/>
    <col min="13827" max="13827" width="30.28515625" bestFit="1" customWidth="1"/>
    <col min="13828" max="13828" width="11.5703125" bestFit="1" customWidth="1"/>
    <col min="13829" max="13829" width="10.42578125" bestFit="1" customWidth="1"/>
    <col min="13830" max="13830" width="10.7109375" bestFit="1" customWidth="1"/>
    <col min="13831" max="13831" width="14.7109375" bestFit="1" customWidth="1"/>
    <col min="13832" max="13835" width="11.5703125" bestFit="1" customWidth="1"/>
    <col min="13836" max="13836" width="10.7109375" bestFit="1" customWidth="1"/>
    <col min="13837" max="13837" width="11.28515625" customWidth="1"/>
    <col min="13838" max="13838" width="11.28515625" bestFit="1" customWidth="1"/>
    <col min="13839" max="13841" width="11.5703125" bestFit="1" customWidth="1"/>
    <col min="13842" max="13842" width="3.42578125" bestFit="1" customWidth="1"/>
    <col min="13843" max="13843" width="11.5703125" bestFit="1" customWidth="1"/>
    <col min="13844" max="13844" width="7.7109375" bestFit="1" customWidth="1"/>
    <col min="13845" max="13845" width="4.7109375" bestFit="1" customWidth="1"/>
    <col min="13846" max="13846" width="5.7109375" customWidth="1"/>
    <col min="13847" max="13847" width="5.28515625" bestFit="1" customWidth="1"/>
    <col min="13848" max="13848" width="17.42578125" bestFit="1" customWidth="1"/>
    <col min="13849" max="13849" width="13" bestFit="1" customWidth="1"/>
    <col min="13850" max="13850" width="24.5703125" bestFit="1" customWidth="1"/>
    <col min="13851" max="13851" width="37.42578125" bestFit="1" customWidth="1"/>
    <col min="13852" max="13852" width="30.7109375" bestFit="1" customWidth="1"/>
    <col min="13853" max="13853" width="21.28515625" bestFit="1" customWidth="1"/>
    <col min="13854" max="13854" width="25.5703125" bestFit="1" customWidth="1"/>
    <col min="13855" max="13855" width="30" bestFit="1" customWidth="1"/>
    <col min="13856" max="13856" width="31.28515625" bestFit="1" customWidth="1"/>
    <col min="13857" max="13857" width="21.7109375" bestFit="1" customWidth="1"/>
    <col min="13858" max="13859" width="21.28515625" bestFit="1" customWidth="1"/>
    <col min="13860" max="13860" width="20.28515625" bestFit="1" customWidth="1"/>
    <col min="14081" max="14081" width="3.7109375" bestFit="1" customWidth="1"/>
    <col min="14082" max="14082" width="5.28515625" bestFit="1" customWidth="1"/>
    <col min="14083" max="14083" width="30.28515625" bestFit="1" customWidth="1"/>
    <col min="14084" max="14084" width="11.5703125" bestFit="1" customWidth="1"/>
    <col min="14085" max="14085" width="10.42578125" bestFit="1" customWidth="1"/>
    <col min="14086" max="14086" width="10.7109375" bestFit="1" customWidth="1"/>
    <col min="14087" max="14087" width="14.7109375" bestFit="1" customWidth="1"/>
    <col min="14088" max="14091" width="11.5703125" bestFit="1" customWidth="1"/>
    <col min="14092" max="14092" width="10.7109375" bestFit="1" customWidth="1"/>
    <col min="14093" max="14093" width="11.28515625" customWidth="1"/>
    <col min="14094" max="14094" width="11.28515625" bestFit="1" customWidth="1"/>
    <col min="14095" max="14097" width="11.5703125" bestFit="1" customWidth="1"/>
    <col min="14098" max="14098" width="3.42578125" bestFit="1" customWidth="1"/>
    <col min="14099" max="14099" width="11.5703125" bestFit="1" customWidth="1"/>
    <col min="14100" max="14100" width="7.7109375" bestFit="1" customWidth="1"/>
    <col min="14101" max="14101" width="4.7109375" bestFit="1" customWidth="1"/>
    <col min="14102" max="14102" width="5.7109375" customWidth="1"/>
    <col min="14103" max="14103" width="5.28515625" bestFit="1" customWidth="1"/>
    <col min="14104" max="14104" width="17.42578125" bestFit="1" customWidth="1"/>
    <col min="14105" max="14105" width="13" bestFit="1" customWidth="1"/>
    <col min="14106" max="14106" width="24.5703125" bestFit="1" customWidth="1"/>
    <col min="14107" max="14107" width="37.42578125" bestFit="1" customWidth="1"/>
    <col min="14108" max="14108" width="30.7109375" bestFit="1" customWidth="1"/>
    <col min="14109" max="14109" width="21.28515625" bestFit="1" customWidth="1"/>
    <col min="14110" max="14110" width="25.5703125" bestFit="1" customWidth="1"/>
    <col min="14111" max="14111" width="30" bestFit="1" customWidth="1"/>
    <col min="14112" max="14112" width="31.28515625" bestFit="1" customWidth="1"/>
    <col min="14113" max="14113" width="21.7109375" bestFit="1" customWidth="1"/>
    <col min="14114" max="14115" width="21.28515625" bestFit="1" customWidth="1"/>
    <col min="14116" max="14116" width="20.28515625" bestFit="1" customWidth="1"/>
    <col min="14337" max="14337" width="3.7109375" bestFit="1" customWidth="1"/>
    <col min="14338" max="14338" width="5.28515625" bestFit="1" customWidth="1"/>
    <col min="14339" max="14339" width="30.28515625" bestFit="1" customWidth="1"/>
    <col min="14340" max="14340" width="11.5703125" bestFit="1" customWidth="1"/>
    <col min="14341" max="14341" width="10.42578125" bestFit="1" customWidth="1"/>
    <col min="14342" max="14342" width="10.7109375" bestFit="1" customWidth="1"/>
    <col min="14343" max="14343" width="14.7109375" bestFit="1" customWidth="1"/>
    <col min="14344" max="14347" width="11.5703125" bestFit="1" customWidth="1"/>
    <col min="14348" max="14348" width="10.7109375" bestFit="1" customWidth="1"/>
    <col min="14349" max="14349" width="11.28515625" customWidth="1"/>
    <col min="14350" max="14350" width="11.28515625" bestFit="1" customWidth="1"/>
    <col min="14351" max="14353" width="11.5703125" bestFit="1" customWidth="1"/>
    <col min="14354" max="14354" width="3.42578125" bestFit="1" customWidth="1"/>
    <col min="14355" max="14355" width="11.5703125" bestFit="1" customWidth="1"/>
    <col min="14356" max="14356" width="7.7109375" bestFit="1" customWidth="1"/>
    <col min="14357" max="14357" width="4.7109375" bestFit="1" customWidth="1"/>
    <col min="14358" max="14358" width="5.7109375" customWidth="1"/>
    <col min="14359" max="14359" width="5.28515625" bestFit="1" customWidth="1"/>
    <col min="14360" max="14360" width="17.42578125" bestFit="1" customWidth="1"/>
    <col min="14361" max="14361" width="13" bestFit="1" customWidth="1"/>
    <col min="14362" max="14362" width="24.5703125" bestFit="1" customWidth="1"/>
    <col min="14363" max="14363" width="37.42578125" bestFit="1" customWidth="1"/>
    <col min="14364" max="14364" width="30.7109375" bestFit="1" customWidth="1"/>
    <col min="14365" max="14365" width="21.28515625" bestFit="1" customWidth="1"/>
    <col min="14366" max="14366" width="25.5703125" bestFit="1" customWidth="1"/>
    <col min="14367" max="14367" width="30" bestFit="1" customWidth="1"/>
    <col min="14368" max="14368" width="31.28515625" bestFit="1" customWidth="1"/>
    <col min="14369" max="14369" width="21.7109375" bestFit="1" customWidth="1"/>
    <col min="14370" max="14371" width="21.28515625" bestFit="1" customWidth="1"/>
    <col min="14372" max="14372" width="20.28515625" bestFit="1" customWidth="1"/>
    <col min="14593" max="14593" width="3.7109375" bestFit="1" customWidth="1"/>
    <col min="14594" max="14594" width="5.28515625" bestFit="1" customWidth="1"/>
    <col min="14595" max="14595" width="30.28515625" bestFit="1" customWidth="1"/>
    <col min="14596" max="14596" width="11.5703125" bestFit="1" customWidth="1"/>
    <col min="14597" max="14597" width="10.42578125" bestFit="1" customWidth="1"/>
    <col min="14598" max="14598" width="10.7109375" bestFit="1" customWidth="1"/>
    <col min="14599" max="14599" width="14.7109375" bestFit="1" customWidth="1"/>
    <col min="14600" max="14603" width="11.5703125" bestFit="1" customWidth="1"/>
    <col min="14604" max="14604" width="10.7109375" bestFit="1" customWidth="1"/>
    <col min="14605" max="14605" width="11.28515625" customWidth="1"/>
    <col min="14606" max="14606" width="11.28515625" bestFit="1" customWidth="1"/>
    <col min="14607" max="14609" width="11.5703125" bestFit="1" customWidth="1"/>
    <col min="14610" max="14610" width="3.42578125" bestFit="1" customWidth="1"/>
    <col min="14611" max="14611" width="11.5703125" bestFit="1" customWidth="1"/>
    <col min="14612" max="14612" width="7.7109375" bestFit="1" customWidth="1"/>
    <col min="14613" max="14613" width="4.7109375" bestFit="1" customWidth="1"/>
    <col min="14614" max="14614" width="5.7109375" customWidth="1"/>
    <col min="14615" max="14615" width="5.28515625" bestFit="1" customWidth="1"/>
    <col min="14616" max="14616" width="17.42578125" bestFit="1" customWidth="1"/>
    <col min="14617" max="14617" width="13" bestFit="1" customWidth="1"/>
    <col min="14618" max="14618" width="24.5703125" bestFit="1" customWidth="1"/>
    <col min="14619" max="14619" width="37.42578125" bestFit="1" customWidth="1"/>
    <col min="14620" max="14620" width="30.7109375" bestFit="1" customWidth="1"/>
    <col min="14621" max="14621" width="21.28515625" bestFit="1" customWidth="1"/>
    <col min="14622" max="14622" width="25.5703125" bestFit="1" customWidth="1"/>
    <col min="14623" max="14623" width="30" bestFit="1" customWidth="1"/>
    <col min="14624" max="14624" width="31.28515625" bestFit="1" customWidth="1"/>
    <col min="14625" max="14625" width="21.7109375" bestFit="1" customWidth="1"/>
    <col min="14626" max="14627" width="21.28515625" bestFit="1" customWidth="1"/>
    <col min="14628" max="14628" width="20.28515625" bestFit="1" customWidth="1"/>
    <col min="14849" max="14849" width="3.7109375" bestFit="1" customWidth="1"/>
    <col min="14850" max="14850" width="5.28515625" bestFit="1" customWidth="1"/>
    <col min="14851" max="14851" width="30.28515625" bestFit="1" customWidth="1"/>
    <col min="14852" max="14852" width="11.5703125" bestFit="1" customWidth="1"/>
    <col min="14853" max="14853" width="10.42578125" bestFit="1" customWidth="1"/>
    <col min="14854" max="14854" width="10.7109375" bestFit="1" customWidth="1"/>
    <col min="14855" max="14855" width="14.7109375" bestFit="1" customWidth="1"/>
    <col min="14856" max="14859" width="11.5703125" bestFit="1" customWidth="1"/>
    <col min="14860" max="14860" width="10.7109375" bestFit="1" customWidth="1"/>
    <col min="14861" max="14861" width="11.28515625" customWidth="1"/>
    <col min="14862" max="14862" width="11.28515625" bestFit="1" customWidth="1"/>
    <col min="14863" max="14865" width="11.5703125" bestFit="1" customWidth="1"/>
    <col min="14866" max="14866" width="3.42578125" bestFit="1" customWidth="1"/>
    <col min="14867" max="14867" width="11.5703125" bestFit="1" customWidth="1"/>
    <col min="14868" max="14868" width="7.7109375" bestFit="1" customWidth="1"/>
    <col min="14869" max="14869" width="4.7109375" bestFit="1" customWidth="1"/>
    <col min="14870" max="14870" width="5.7109375" customWidth="1"/>
    <col min="14871" max="14871" width="5.28515625" bestFit="1" customWidth="1"/>
    <col min="14872" max="14872" width="17.42578125" bestFit="1" customWidth="1"/>
    <col min="14873" max="14873" width="13" bestFit="1" customWidth="1"/>
    <col min="14874" max="14874" width="24.5703125" bestFit="1" customWidth="1"/>
    <col min="14875" max="14875" width="37.42578125" bestFit="1" customWidth="1"/>
    <col min="14876" max="14876" width="30.7109375" bestFit="1" customWidth="1"/>
    <col min="14877" max="14877" width="21.28515625" bestFit="1" customWidth="1"/>
    <col min="14878" max="14878" width="25.5703125" bestFit="1" customWidth="1"/>
    <col min="14879" max="14879" width="30" bestFit="1" customWidth="1"/>
    <col min="14880" max="14880" width="31.28515625" bestFit="1" customWidth="1"/>
    <col min="14881" max="14881" width="21.7109375" bestFit="1" customWidth="1"/>
    <col min="14882" max="14883" width="21.28515625" bestFit="1" customWidth="1"/>
    <col min="14884" max="14884" width="20.28515625" bestFit="1" customWidth="1"/>
    <col min="15105" max="15105" width="3.7109375" bestFit="1" customWidth="1"/>
    <col min="15106" max="15106" width="5.28515625" bestFit="1" customWidth="1"/>
    <col min="15107" max="15107" width="30.28515625" bestFit="1" customWidth="1"/>
    <col min="15108" max="15108" width="11.5703125" bestFit="1" customWidth="1"/>
    <col min="15109" max="15109" width="10.42578125" bestFit="1" customWidth="1"/>
    <col min="15110" max="15110" width="10.7109375" bestFit="1" customWidth="1"/>
    <col min="15111" max="15111" width="14.7109375" bestFit="1" customWidth="1"/>
    <col min="15112" max="15115" width="11.5703125" bestFit="1" customWidth="1"/>
    <col min="15116" max="15116" width="10.7109375" bestFit="1" customWidth="1"/>
    <col min="15117" max="15117" width="11.28515625" customWidth="1"/>
    <col min="15118" max="15118" width="11.28515625" bestFit="1" customWidth="1"/>
    <col min="15119" max="15121" width="11.5703125" bestFit="1" customWidth="1"/>
    <col min="15122" max="15122" width="3.42578125" bestFit="1" customWidth="1"/>
    <col min="15123" max="15123" width="11.5703125" bestFit="1" customWidth="1"/>
    <col min="15124" max="15124" width="7.7109375" bestFit="1" customWidth="1"/>
    <col min="15125" max="15125" width="4.7109375" bestFit="1" customWidth="1"/>
    <col min="15126" max="15126" width="5.7109375" customWidth="1"/>
    <col min="15127" max="15127" width="5.28515625" bestFit="1" customWidth="1"/>
    <col min="15128" max="15128" width="17.42578125" bestFit="1" customWidth="1"/>
    <col min="15129" max="15129" width="13" bestFit="1" customWidth="1"/>
    <col min="15130" max="15130" width="24.5703125" bestFit="1" customWidth="1"/>
    <col min="15131" max="15131" width="37.42578125" bestFit="1" customWidth="1"/>
    <col min="15132" max="15132" width="30.7109375" bestFit="1" customWidth="1"/>
    <col min="15133" max="15133" width="21.28515625" bestFit="1" customWidth="1"/>
    <col min="15134" max="15134" width="25.5703125" bestFit="1" customWidth="1"/>
    <col min="15135" max="15135" width="30" bestFit="1" customWidth="1"/>
    <col min="15136" max="15136" width="31.28515625" bestFit="1" customWidth="1"/>
    <col min="15137" max="15137" width="21.7109375" bestFit="1" customWidth="1"/>
    <col min="15138" max="15139" width="21.28515625" bestFit="1" customWidth="1"/>
    <col min="15140" max="15140" width="20.28515625" bestFit="1" customWidth="1"/>
    <col min="15361" max="15361" width="3.7109375" bestFit="1" customWidth="1"/>
    <col min="15362" max="15362" width="5.28515625" bestFit="1" customWidth="1"/>
    <col min="15363" max="15363" width="30.28515625" bestFit="1" customWidth="1"/>
    <col min="15364" max="15364" width="11.5703125" bestFit="1" customWidth="1"/>
    <col min="15365" max="15365" width="10.42578125" bestFit="1" customWidth="1"/>
    <col min="15366" max="15366" width="10.7109375" bestFit="1" customWidth="1"/>
    <col min="15367" max="15367" width="14.7109375" bestFit="1" customWidth="1"/>
    <col min="15368" max="15371" width="11.5703125" bestFit="1" customWidth="1"/>
    <col min="15372" max="15372" width="10.7109375" bestFit="1" customWidth="1"/>
    <col min="15373" max="15373" width="11.28515625" customWidth="1"/>
    <col min="15374" max="15374" width="11.28515625" bestFit="1" customWidth="1"/>
    <col min="15375" max="15377" width="11.5703125" bestFit="1" customWidth="1"/>
    <col min="15378" max="15378" width="3.42578125" bestFit="1" customWidth="1"/>
    <col min="15379" max="15379" width="11.5703125" bestFit="1" customWidth="1"/>
    <col min="15380" max="15380" width="7.7109375" bestFit="1" customWidth="1"/>
    <col min="15381" max="15381" width="4.7109375" bestFit="1" customWidth="1"/>
    <col min="15382" max="15382" width="5.7109375" customWidth="1"/>
    <col min="15383" max="15383" width="5.28515625" bestFit="1" customWidth="1"/>
    <col min="15384" max="15384" width="17.42578125" bestFit="1" customWidth="1"/>
    <col min="15385" max="15385" width="13" bestFit="1" customWidth="1"/>
    <col min="15386" max="15386" width="24.5703125" bestFit="1" customWidth="1"/>
    <col min="15387" max="15387" width="37.42578125" bestFit="1" customWidth="1"/>
    <col min="15388" max="15388" width="30.7109375" bestFit="1" customWidth="1"/>
    <col min="15389" max="15389" width="21.28515625" bestFit="1" customWidth="1"/>
    <col min="15390" max="15390" width="25.5703125" bestFit="1" customWidth="1"/>
    <col min="15391" max="15391" width="30" bestFit="1" customWidth="1"/>
    <col min="15392" max="15392" width="31.28515625" bestFit="1" customWidth="1"/>
    <col min="15393" max="15393" width="21.7109375" bestFit="1" customWidth="1"/>
    <col min="15394" max="15395" width="21.28515625" bestFit="1" customWidth="1"/>
    <col min="15396" max="15396" width="20.28515625" bestFit="1" customWidth="1"/>
    <col min="15617" max="15617" width="3.7109375" bestFit="1" customWidth="1"/>
    <col min="15618" max="15618" width="5.28515625" bestFit="1" customWidth="1"/>
    <col min="15619" max="15619" width="30.28515625" bestFit="1" customWidth="1"/>
    <col min="15620" max="15620" width="11.5703125" bestFit="1" customWidth="1"/>
    <col min="15621" max="15621" width="10.42578125" bestFit="1" customWidth="1"/>
    <col min="15622" max="15622" width="10.7109375" bestFit="1" customWidth="1"/>
    <col min="15623" max="15623" width="14.7109375" bestFit="1" customWidth="1"/>
    <col min="15624" max="15627" width="11.5703125" bestFit="1" customWidth="1"/>
    <col min="15628" max="15628" width="10.7109375" bestFit="1" customWidth="1"/>
    <col min="15629" max="15629" width="11.28515625" customWidth="1"/>
    <col min="15630" max="15630" width="11.28515625" bestFit="1" customWidth="1"/>
    <col min="15631" max="15633" width="11.5703125" bestFit="1" customWidth="1"/>
    <col min="15634" max="15634" width="3.42578125" bestFit="1" customWidth="1"/>
    <col min="15635" max="15635" width="11.5703125" bestFit="1" customWidth="1"/>
    <col min="15636" max="15636" width="7.7109375" bestFit="1" customWidth="1"/>
    <col min="15637" max="15637" width="4.7109375" bestFit="1" customWidth="1"/>
    <col min="15638" max="15638" width="5.7109375" customWidth="1"/>
    <col min="15639" max="15639" width="5.28515625" bestFit="1" customWidth="1"/>
    <col min="15640" max="15640" width="17.42578125" bestFit="1" customWidth="1"/>
    <col min="15641" max="15641" width="13" bestFit="1" customWidth="1"/>
    <col min="15642" max="15642" width="24.5703125" bestFit="1" customWidth="1"/>
    <col min="15643" max="15643" width="37.42578125" bestFit="1" customWidth="1"/>
    <col min="15644" max="15644" width="30.7109375" bestFit="1" customWidth="1"/>
    <col min="15645" max="15645" width="21.28515625" bestFit="1" customWidth="1"/>
    <col min="15646" max="15646" width="25.5703125" bestFit="1" customWidth="1"/>
    <col min="15647" max="15647" width="30" bestFit="1" customWidth="1"/>
    <col min="15648" max="15648" width="31.28515625" bestFit="1" customWidth="1"/>
    <col min="15649" max="15649" width="21.7109375" bestFit="1" customWidth="1"/>
    <col min="15650" max="15651" width="21.28515625" bestFit="1" customWidth="1"/>
    <col min="15652" max="15652" width="20.28515625" bestFit="1" customWidth="1"/>
    <col min="15873" max="15873" width="3.7109375" bestFit="1" customWidth="1"/>
    <col min="15874" max="15874" width="5.28515625" bestFit="1" customWidth="1"/>
    <col min="15875" max="15875" width="30.28515625" bestFit="1" customWidth="1"/>
    <col min="15876" max="15876" width="11.5703125" bestFit="1" customWidth="1"/>
    <col min="15877" max="15877" width="10.42578125" bestFit="1" customWidth="1"/>
    <col min="15878" max="15878" width="10.7109375" bestFit="1" customWidth="1"/>
    <col min="15879" max="15879" width="14.7109375" bestFit="1" customWidth="1"/>
    <col min="15880" max="15883" width="11.5703125" bestFit="1" customWidth="1"/>
    <col min="15884" max="15884" width="10.7109375" bestFit="1" customWidth="1"/>
    <col min="15885" max="15885" width="11.28515625" customWidth="1"/>
    <col min="15886" max="15886" width="11.28515625" bestFit="1" customWidth="1"/>
    <col min="15887" max="15889" width="11.5703125" bestFit="1" customWidth="1"/>
    <col min="15890" max="15890" width="3.42578125" bestFit="1" customWidth="1"/>
    <col min="15891" max="15891" width="11.5703125" bestFit="1" customWidth="1"/>
    <col min="15892" max="15892" width="7.7109375" bestFit="1" customWidth="1"/>
    <col min="15893" max="15893" width="4.7109375" bestFit="1" customWidth="1"/>
    <col min="15894" max="15894" width="5.7109375" customWidth="1"/>
    <col min="15895" max="15895" width="5.28515625" bestFit="1" customWidth="1"/>
    <col min="15896" max="15896" width="17.42578125" bestFit="1" customWidth="1"/>
    <col min="15897" max="15897" width="13" bestFit="1" customWidth="1"/>
    <col min="15898" max="15898" width="24.5703125" bestFit="1" customWidth="1"/>
    <col min="15899" max="15899" width="37.42578125" bestFit="1" customWidth="1"/>
    <col min="15900" max="15900" width="30.7109375" bestFit="1" customWidth="1"/>
    <col min="15901" max="15901" width="21.28515625" bestFit="1" customWidth="1"/>
    <col min="15902" max="15902" width="25.5703125" bestFit="1" customWidth="1"/>
    <col min="15903" max="15903" width="30" bestFit="1" customWidth="1"/>
    <col min="15904" max="15904" width="31.28515625" bestFit="1" customWidth="1"/>
    <col min="15905" max="15905" width="21.7109375" bestFit="1" customWidth="1"/>
    <col min="15906" max="15907" width="21.28515625" bestFit="1" customWidth="1"/>
    <col min="15908" max="15908" width="20.28515625" bestFit="1" customWidth="1"/>
    <col min="16129" max="16129" width="3.7109375" bestFit="1" customWidth="1"/>
    <col min="16130" max="16130" width="5.28515625" bestFit="1" customWidth="1"/>
    <col min="16131" max="16131" width="30.28515625" bestFit="1" customWidth="1"/>
    <col min="16132" max="16132" width="11.5703125" bestFit="1" customWidth="1"/>
    <col min="16133" max="16133" width="10.42578125" bestFit="1" customWidth="1"/>
    <col min="16134" max="16134" width="10.7109375" bestFit="1" customWidth="1"/>
    <col min="16135" max="16135" width="14.7109375" bestFit="1" customWidth="1"/>
    <col min="16136" max="16139" width="11.5703125" bestFit="1" customWidth="1"/>
    <col min="16140" max="16140" width="10.7109375" bestFit="1" customWidth="1"/>
    <col min="16141" max="16141" width="11.28515625" customWidth="1"/>
    <col min="16142" max="16142" width="11.28515625" bestFit="1" customWidth="1"/>
    <col min="16143" max="16145" width="11.5703125" bestFit="1" customWidth="1"/>
    <col min="16146" max="16146" width="3.42578125" bestFit="1" customWidth="1"/>
    <col min="16147" max="16147" width="11.5703125" bestFit="1" customWidth="1"/>
    <col min="16148" max="16148" width="7.7109375" bestFit="1" customWidth="1"/>
    <col min="16149" max="16149" width="4.7109375" bestFit="1" customWidth="1"/>
    <col min="16150" max="16150" width="5.7109375" customWidth="1"/>
    <col min="16151" max="16151" width="5.28515625" bestFit="1" customWidth="1"/>
    <col min="16152" max="16152" width="17.42578125" bestFit="1" customWidth="1"/>
    <col min="16153" max="16153" width="13" bestFit="1" customWidth="1"/>
    <col min="16154" max="16154" width="24.5703125" bestFit="1" customWidth="1"/>
    <col min="16155" max="16155" width="37.42578125" bestFit="1" customWidth="1"/>
    <col min="16156" max="16156" width="30.7109375" bestFit="1" customWidth="1"/>
    <col min="16157" max="16157" width="21.28515625" bestFit="1" customWidth="1"/>
    <col min="16158" max="16158" width="25.5703125" bestFit="1" customWidth="1"/>
    <col min="16159" max="16159" width="30" bestFit="1" customWidth="1"/>
    <col min="16160" max="16160" width="31.28515625" bestFit="1" customWidth="1"/>
    <col min="16161" max="16161" width="21.7109375" bestFit="1" customWidth="1"/>
    <col min="16162" max="16163" width="21.28515625" bestFit="1" customWidth="1"/>
    <col min="16164" max="16164" width="20.28515625" bestFit="1" customWidth="1"/>
  </cols>
  <sheetData>
    <row r="2" spans="1:23" ht="19.5" customHeight="1">
      <c r="B2" s="389" t="s">
        <v>242</v>
      </c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  <c r="O2" s="389"/>
      <c r="P2" s="389"/>
      <c r="Q2" s="389"/>
      <c r="R2" s="151"/>
    </row>
    <row r="3" spans="1:23" s="154" customFormat="1">
      <c r="A3" s="150"/>
      <c r="B3" s="390" t="s">
        <v>243</v>
      </c>
      <c r="C3" s="391" t="s">
        <v>4</v>
      </c>
      <c r="D3" s="392" t="s">
        <v>244</v>
      </c>
      <c r="E3" s="393"/>
      <c r="F3" s="393"/>
      <c r="G3" s="393"/>
      <c r="H3" s="393"/>
      <c r="I3" s="394"/>
      <c r="J3" s="392" t="s">
        <v>245</v>
      </c>
      <c r="K3" s="393"/>
      <c r="L3" s="393"/>
      <c r="M3" s="393"/>
      <c r="N3" s="393"/>
      <c r="O3" s="394"/>
      <c r="P3" s="392" t="s">
        <v>246</v>
      </c>
      <c r="Q3" s="394"/>
      <c r="R3" s="153"/>
      <c r="S3" s="152"/>
    </row>
    <row r="4" spans="1:23" ht="76.5" customHeight="1">
      <c r="B4" s="390"/>
      <c r="C4" s="391"/>
      <c r="D4" s="155" t="s">
        <v>247</v>
      </c>
      <c r="E4" s="155" t="s">
        <v>248</v>
      </c>
      <c r="F4" s="155" t="s">
        <v>249</v>
      </c>
      <c r="G4" s="155" t="s">
        <v>250</v>
      </c>
      <c r="H4" s="155" t="s">
        <v>251</v>
      </c>
      <c r="I4" s="155" t="s">
        <v>252</v>
      </c>
      <c r="J4" s="155" t="s">
        <v>253</v>
      </c>
      <c r="K4" s="155" t="s">
        <v>254</v>
      </c>
      <c r="L4" s="155" t="s">
        <v>255</v>
      </c>
      <c r="M4" s="155" t="s">
        <v>256</v>
      </c>
      <c r="N4" s="155" t="s">
        <v>257</v>
      </c>
      <c r="O4" s="155" t="s">
        <v>252</v>
      </c>
      <c r="P4" s="155" t="s">
        <v>258</v>
      </c>
      <c r="Q4" s="155" t="s">
        <v>259</v>
      </c>
      <c r="R4" s="156"/>
      <c r="T4" s="157">
        <f>+K24+M24-L24</f>
        <v>890.09999999999991</v>
      </c>
    </row>
    <row r="5" spans="1:23" hidden="1">
      <c r="B5" s="158"/>
      <c r="C5" s="159"/>
      <c r="D5" s="160" t="s">
        <v>260</v>
      </c>
      <c r="E5" s="160" t="s">
        <v>260</v>
      </c>
      <c r="F5" s="160" t="s">
        <v>260</v>
      </c>
      <c r="G5" s="160" t="s">
        <v>260</v>
      </c>
      <c r="H5" s="160" t="s">
        <v>260</v>
      </c>
      <c r="I5" s="160" t="s">
        <v>260</v>
      </c>
      <c r="J5" s="160" t="s">
        <v>260</v>
      </c>
      <c r="K5" s="160" t="s">
        <v>260</v>
      </c>
      <c r="L5" s="160" t="s">
        <v>260</v>
      </c>
      <c r="M5" s="160" t="s">
        <v>260</v>
      </c>
      <c r="N5" s="160" t="s">
        <v>260</v>
      </c>
      <c r="O5" s="160" t="s">
        <v>260</v>
      </c>
      <c r="P5" s="160" t="s">
        <v>260</v>
      </c>
      <c r="Q5" s="160" t="s">
        <v>260</v>
      </c>
      <c r="R5" s="161"/>
    </row>
    <row r="6" spans="1:23" ht="21.75" customHeight="1">
      <c r="B6" s="158" t="s">
        <v>261</v>
      </c>
      <c r="C6" s="162" t="s">
        <v>262</v>
      </c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63"/>
    </row>
    <row r="7" spans="1:23" ht="21.75" customHeight="1">
      <c r="A7" s="164">
        <v>49</v>
      </c>
      <c r="B7" s="165"/>
      <c r="C7" s="166" t="s">
        <v>263</v>
      </c>
      <c r="D7" s="167">
        <v>8.64</v>
      </c>
      <c r="E7" s="167">
        <v>0</v>
      </c>
      <c r="F7" s="167">
        <v>0</v>
      </c>
      <c r="G7" s="167"/>
      <c r="H7" s="167"/>
      <c r="I7" s="168">
        <v>8.64</v>
      </c>
      <c r="J7" s="167">
        <v>0</v>
      </c>
      <c r="K7" s="167">
        <v>0</v>
      </c>
      <c r="L7" s="167">
        <v>0</v>
      </c>
      <c r="M7" s="167"/>
      <c r="N7" s="167"/>
      <c r="O7" s="168">
        <v>0</v>
      </c>
      <c r="P7" s="167">
        <v>8.64</v>
      </c>
      <c r="Q7" s="167">
        <v>8.64</v>
      </c>
      <c r="R7" s="169"/>
      <c r="S7" s="170"/>
      <c r="T7" s="157">
        <f>D7+E7-F7+G7</f>
        <v>8.64</v>
      </c>
      <c r="U7" s="157">
        <f>I7-T7</f>
        <v>0</v>
      </c>
      <c r="W7" s="157">
        <f>+K7+L7</f>
        <v>0</v>
      </c>
    </row>
    <row r="8" spans="1:23" ht="21.75" customHeight="1">
      <c r="A8" s="164">
        <v>50</v>
      </c>
      <c r="B8" s="165"/>
      <c r="C8" s="166" t="s">
        <v>264</v>
      </c>
      <c r="D8" s="167">
        <v>383.76</v>
      </c>
      <c r="E8" s="167">
        <v>13.019999999999982</v>
      </c>
      <c r="F8" s="167">
        <v>0</v>
      </c>
      <c r="G8" s="167"/>
      <c r="H8" s="167"/>
      <c r="I8" s="168">
        <v>396.78</v>
      </c>
      <c r="J8" s="167">
        <v>131.5</v>
      </c>
      <c r="K8" s="167">
        <v>12.860000000000014</v>
      </c>
      <c r="L8" s="167">
        <v>0</v>
      </c>
      <c r="M8" s="171"/>
      <c r="N8" s="167"/>
      <c r="O8" s="168">
        <v>144.36000000000001</v>
      </c>
      <c r="P8" s="167">
        <v>252.41999999999996</v>
      </c>
      <c r="Q8" s="167">
        <v>252.26</v>
      </c>
      <c r="R8" s="169"/>
      <c r="S8" s="170">
        <v>67</v>
      </c>
      <c r="T8" s="157">
        <f t="shared" ref="T8:T23" si="0">D8+E8-F8+G8</f>
        <v>396.78</v>
      </c>
      <c r="U8" s="157">
        <f t="shared" ref="U8:U23" si="1">I8-T8</f>
        <v>0</v>
      </c>
      <c r="W8" s="157">
        <f t="shared" ref="W8:W17" si="2">+K8+L8</f>
        <v>12.860000000000014</v>
      </c>
    </row>
    <row r="9" spans="1:23" ht="21.75" customHeight="1">
      <c r="A9" s="164">
        <v>51</v>
      </c>
      <c r="B9" s="165"/>
      <c r="C9" s="166" t="s">
        <v>265</v>
      </c>
      <c r="D9" s="167">
        <v>229.23</v>
      </c>
      <c r="E9" s="167">
        <v>6.9500000000000171</v>
      </c>
      <c r="F9" s="167">
        <v>0</v>
      </c>
      <c r="G9" s="167"/>
      <c r="H9" s="167"/>
      <c r="I9" s="168">
        <v>236.18</v>
      </c>
      <c r="J9" s="167">
        <v>51.97</v>
      </c>
      <c r="K9" s="167">
        <v>7.7800000000000011</v>
      </c>
      <c r="L9" s="167">
        <v>0</v>
      </c>
      <c r="M9" s="171"/>
      <c r="N9" s="167"/>
      <c r="O9" s="168">
        <v>59.75</v>
      </c>
      <c r="P9" s="167">
        <v>176.43</v>
      </c>
      <c r="Q9" s="167">
        <v>177.26</v>
      </c>
      <c r="R9" s="169"/>
      <c r="S9" s="170">
        <v>68</v>
      </c>
      <c r="T9" s="157">
        <f t="shared" si="0"/>
        <v>236.18</v>
      </c>
      <c r="U9" s="157">
        <f t="shared" si="1"/>
        <v>0</v>
      </c>
      <c r="W9" s="157">
        <f t="shared" si="2"/>
        <v>7.7800000000000011</v>
      </c>
    </row>
    <row r="10" spans="1:23" ht="21.75" customHeight="1">
      <c r="A10" s="164">
        <v>52</v>
      </c>
      <c r="B10" s="165"/>
      <c r="C10" s="166" t="s">
        <v>266</v>
      </c>
      <c r="D10" s="167">
        <v>9719.32</v>
      </c>
      <c r="E10" s="167">
        <v>797.77000000000044</v>
      </c>
      <c r="F10" s="171">
        <v>3.08</v>
      </c>
      <c r="G10" s="167"/>
      <c r="H10" s="167"/>
      <c r="I10" s="168">
        <v>10514.01</v>
      </c>
      <c r="J10" s="167">
        <v>5104.43</v>
      </c>
      <c r="K10" s="167">
        <v>399.90999999999963</v>
      </c>
      <c r="L10" s="167">
        <v>2.5099999999999998</v>
      </c>
      <c r="M10" s="171"/>
      <c r="N10" s="167"/>
      <c r="O10" s="168">
        <v>5501.83</v>
      </c>
      <c r="P10" s="167">
        <v>5012.18</v>
      </c>
      <c r="Q10" s="167">
        <v>4614.8899999999994</v>
      </c>
      <c r="R10" s="169"/>
      <c r="S10" s="172">
        <v>69</v>
      </c>
      <c r="T10" s="157">
        <f t="shared" si="0"/>
        <v>10514.01</v>
      </c>
      <c r="U10" s="157">
        <f t="shared" si="1"/>
        <v>0</v>
      </c>
      <c r="W10" s="157">
        <f t="shared" si="2"/>
        <v>402.41999999999962</v>
      </c>
    </row>
    <row r="11" spans="1:23" ht="21.75" customHeight="1">
      <c r="A11" s="164">
        <v>53</v>
      </c>
      <c r="B11" s="165"/>
      <c r="C11" s="166" t="s">
        <v>267</v>
      </c>
      <c r="D11" s="167">
        <v>9503.4</v>
      </c>
      <c r="E11" s="167">
        <v>804.96000000000095</v>
      </c>
      <c r="F11" s="167">
        <v>0</v>
      </c>
      <c r="G11" s="167"/>
      <c r="H11" s="167"/>
      <c r="I11" s="168">
        <v>10308.36</v>
      </c>
      <c r="J11" s="167">
        <v>4500.63</v>
      </c>
      <c r="K11" s="167">
        <v>407.68000000000029</v>
      </c>
      <c r="L11" s="167">
        <v>0</v>
      </c>
      <c r="M11" s="171"/>
      <c r="N11" s="167"/>
      <c r="O11" s="168">
        <v>4908.3100000000004</v>
      </c>
      <c r="P11" s="167">
        <v>5400.05</v>
      </c>
      <c r="Q11" s="167">
        <v>5002.7699999999995</v>
      </c>
      <c r="R11" s="169"/>
      <c r="S11" s="172">
        <v>70</v>
      </c>
      <c r="T11" s="157">
        <f t="shared" si="0"/>
        <v>10308.36</v>
      </c>
      <c r="U11" s="157">
        <f t="shared" si="1"/>
        <v>0</v>
      </c>
      <c r="W11" s="157">
        <f t="shared" si="2"/>
        <v>407.68000000000029</v>
      </c>
    </row>
    <row r="12" spans="1:23" ht="21.75" customHeight="1">
      <c r="A12" s="164">
        <v>54</v>
      </c>
      <c r="B12" s="165"/>
      <c r="C12" s="166" t="s">
        <v>268</v>
      </c>
      <c r="D12" s="167">
        <v>1994.68</v>
      </c>
      <c r="E12" s="167">
        <v>146.87000000000012</v>
      </c>
      <c r="F12" s="171">
        <v>19.940000000000001</v>
      </c>
      <c r="G12" s="167"/>
      <c r="H12" s="167"/>
      <c r="I12" s="168">
        <v>2121.61</v>
      </c>
      <c r="J12" s="167">
        <v>1197.48</v>
      </c>
      <c r="K12" s="167">
        <v>60.019999999999946</v>
      </c>
      <c r="L12" s="167">
        <v>15.21</v>
      </c>
      <c r="M12" s="171"/>
      <c r="N12" s="167"/>
      <c r="O12" s="167">
        <v>1242.29</v>
      </c>
      <c r="P12" s="167">
        <v>879.32000000000016</v>
      </c>
      <c r="Q12" s="167">
        <v>797.2</v>
      </c>
      <c r="R12" s="169"/>
      <c r="S12" s="172">
        <v>71</v>
      </c>
      <c r="T12" s="157">
        <f t="shared" si="0"/>
        <v>2121.61</v>
      </c>
      <c r="U12" s="157">
        <f t="shared" si="1"/>
        <v>0</v>
      </c>
      <c r="W12" s="157">
        <f t="shared" si="2"/>
        <v>75.229999999999947</v>
      </c>
    </row>
    <row r="13" spans="1:23" ht="21.75" customHeight="1">
      <c r="A13" s="164">
        <v>55</v>
      </c>
      <c r="B13" s="165"/>
      <c r="C13" s="166" t="s">
        <v>269</v>
      </c>
      <c r="D13" s="167">
        <v>7.36</v>
      </c>
      <c r="E13" s="167">
        <v>0</v>
      </c>
      <c r="F13" s="167">
        <v>0</v>
      </c>
      <c r="G13" s="167"/>
      <c r="H13" s="167"/>
      <c r="I13" s="168">
        <v>7.36</v>
      </c>
      <c r="J13" s="167">
        <v>6.39</v>
      </c>
      <c r="K13" s="167">
        <v>2.0000000000000462E-2</v>
      </c>
      <c r="L13" s="167">
        <v>0</v>
      </c>
      <c r="M13" s="167"/>
      <c r="N13" s="167"/>
      <c r="O13" s="168">
        <v>6.41</v>
      </c>
      <c r="P13" s="167">
        <v>0.95000000000000018</v>
      </c>
      <c r="Q13" s="167">
        <v>0.97000000000000064</v>
      </c>
      <c r="R13" s="169"/>
      <c r="S13" s="172">
        <v>72</v>
      </c>
      <c r="T13" s="157">
        <f t="shared" si="0"/>
        <v>7.36</v>
      </c>
      <c r="U13" s="157">
        <f t="shared" si="1"/>
        <v>0</v>
      </c>
      <c r="W13" s="157">
        <f t="shared" si="2"/>
        <v>2.0000000000000462E-2</v>
      </c>
    </row>
    <row r="14" spans="1:23" ht="21.75" customHeight="1">
      <c r="A14" s="164">
        <v>56</v>
      </c>
      <c r="B14" s="165"/>
      <c r="C14" s="166" t="s">
        <v>270</v>
      </c>
      <c r="D14" s="167">
        <v>18.600000000000001</v>
      </c>
      <c r="E14" s="167">
        <v>0.63999999999999702</v>
      </c>
      <c r="F14" s="167">
        <v>0</v>
      </c>
      <c r="G14" s="167"/>
      <c r="H14" s="167"/>
      <c r="I14" s="168">
        <v>19.239999999999998</v>
      </c>
      <c r="J14" s="167">
        <v>12.05</v>
      </c>
      <c r="K14" s="167">
        <v>0.62999999999999901</v>
      </c>
      <c r="L14" s="167">
        <v>0</v>
      </c>
      <c r="M14" s="167"/>
      <c r="N14" s="167"/>
      <c r="O14" s="168">
        <v>12.68</v>
      </c>
      <c r="P14" s="167">
        <v>6.5599999999999987</v>
      </c>
      <c r="Q14" s="167">
        <v>6.5500000000000007</v>
      </c>
      <c r="R14" s="169"/>
      <c r="S14" s="172">
        <v>73</v>
      </c>
      <c r="T14" s="157">
        <f t="shared" si="0"/>
        <v>19.239999999999998</v>
      </c>
      <c r="U14" s="157">
        <f t="shared" si="1"/>
        <v>0</v>
      </c>
      <c r="W14" s="157">
        <f t="shared" si="2"/>
        <v>0.62999999999999901</v>
      </c>
    </row>
    <row r="15" spans="1:23" ht="21.75" customHeight="1">
      <c r="A15" s="164">
        <v>57</v>
      </c>
      <c r="B15" s="165"/>
      <c r="C15" s="166" t="s">
        <v>271</v>
      </c>
      <c r="D15" s="167">
        <v>57.739999999999995</v>
      </c>
      <c r="E15" s="167">
        <v>2.470000000000006</v>
      </c>
      <c r="F15" s="167">
        <v>0.03</v>
      </c>
      <c r="G15" s="167"/>
      <c r="H15" s="167"/>
      <c r="I15" s="168">
        <v>60.18</v>
      </c>
      <c r="J15" s="167">
        <v>34.629999999999995</v>
      </c>
      <c r="K15" s="167">
        <v>2.1600000000000006</v>
      </c>
      <c r="L15" s="167">
        <v>0.02</v>
      </c>
      <c r="M15" s="167"/>
      <c r="N15" s="167"/>
      <c r="O15" s="168">
        <v>36.769999999999996</v>
      </c>
      <c r="P15" s="167">
        <v>23.410000000000004</v>
      </c>
      <c r="Q15" s="167">
        <v>23.11</v>
      </c>
      <c r="R15" s="169"/>
      <c r="S15" s="172">
        <v>74</v>
      </c>
      <c r="T15" s="157">
        <f t="shared" si="0"/>
        <v>60.18</v>
      </c>
      <c r="U15" s="157">
        <f t="shared" si="1"/>
        <v>0</v>
      </c>
      <c r="W15" s="157">
        <f t="shared" si="2"/>
        <v>2.1800000000000006</v>
      </c>
    </row>
    <row r="16" spans="1:23" ht="21.75" customHeight="1">
      <c r="A16" s="164">
        <v>58</v>
      </c>
      <c r="B16" s="165"/>
      <c r="C16" s="166" t="s">
        <v>272</v>
      </c>
      <c r="D16" s="167">
        <v>2.77</v>
      </c>
      <c r="E16" s="167">
        <v>6.999999999999984E-2</v>
      </c>
      <c r="F16" s="167">
        <v>0</v>
      </c>
      <c r="G16" s="167"/>
      <c r="H16" s="167"/>
      <c r="I16" s="168">
        <v>2.84</v>
      </c>
      <c r="J16" s="167">
        <v>1.77</v>
      </c>
      <c r="K16" s="167">
        <v>7.0000000000000062E-2</v>
      </c>
      <c r="L16" s="167">
        <v>0</v>
      </c>
      <c r="M16" s="167"/>
      <c r="N16" s="167"/>
      <c r="O16" s="168">
        <v>1.84</v>
      </c>
      <c r="P16" s="167">
        <v>0.99999999999999978</v>
      </c>
      <c r="Q16" s="167">
        <v>1</v>
      </c>
      <c r="R16" s="169"/>
      <c r="S16" s="173">
        <v>75</v>
      </c>
      <c r="T16" s="157">
        <f t="shared" si="0"/>
        <v>2.84</v>
      </c>
      <c r="U16" s="157">
        <f t="shared" si="1"/>
        <v>0</v>
      </c>
      <c r="W16" s="157">
        <f t="shared" si="2"/>
        <v>7.0000000000000062E-2</v>
      </c>
    </row>
    <row r="17" spans="1:23" ht="21.75" customHeight="1">
      <c r="A17" s="164">
        <v>59</v>
      </c>
      <c r="B17" s="165"/>
      <c r="C17" s="166" t="s">
        <v>273</v>
      </c>
      <c r="D17" s="167">
        <v>200.11</v>
      </c>
      <c r="E17" s="167">
        <v>2.4099999999999966</v>
      </c>
      <c r="F17" s="167">
        <v>0</v>
      </c>
      <c r="G17" s="167"/>
      <c r="H17" s="171"/>
      <c r="I17" s="168">
        <v>202.52</v>
      </c>
      <c r="J17" s="167">
        <v>158.15</v>
      </c>
      <c r="K17" s="167">
        <v>12.199999999999989</v>
      </c>
      <c r="L17" s="167">
        <v>0</v>
      </c>
      <c r="M17" s="171"/>
      <c r="N17" s="167"/>
      <c r="O17" s="168">
        <v>170.35</v>
      </c>
      <c r="P17" s="167">
        <v>32.170000000000016</v>
      </c>
      <c r="Q17" s="167">
        <v>41.960000000000008</v>
      </c>
      <c r="R17" s="169"/>
      <c r="S17" s="173">
        <v>76</v>
      </c>
      <c r="T17" s="157">
        <f t="shared" si="0"/>
        <v>202.52</v>
      </c>
      <c r="U17" s="157">
        <f t="shared" si="1"/>
        <v>0</v>
      </c>
      <c r="W17" s="157">
        <f t="shared" si="2"/>
        <v>12.199999999999989</v>
      </c>
    </row>
    <row r="18" spans="1:23" ht="21.75" customHeight="1">
      <c r="A18" s="164"/>
      <c r="B18" s="165"/>
      <c r="C18" s="174" t="s">
        <v>274</v>
      </c>
      <c r="D18" s="175">
        <v>22125.61</v>
      </c>
      <c r="E18" s="175">
        <v>1775.1600000000017</v>
      </c>
      <c r="F18" s="175">
        <v>23.050000000000004</v>
      </c>
      <c r="G18" s="175">
        <v>0</v>
      </c>
      <c r="H18" s="175">
        <v>0</v>
      </c>
      <c r="I18" s="175">
        <f>D18+E18-F18</f>
        <v>23877.720000000005</v>
      </c>
      <c r="J18" s="175">
        <v>11198.999999999998</v>
      </c>
      <c r="K18" s="175">
        <v>903.32999999999993</v>
      </c>
      <c r="L18" s="175">
        <v>17.739999999999998</v>
      </c>
      <c r="M18" s="175">
        <v>0</v>
      </c>
      <c r="N18" s="175">
        <v>0</v>
      </c>
      <c r="O18" s="175">
        <f>J18+K18-L18</f>
        <v>12084.589999999998</v>
      </c>
      <c r="P18" s="175">
        <v>11793.130000000001</v>
      </c>
      <c r="Q18" s="175">
        <v>10926.609999999999</v>
      </c>
      <c r="R18" s="176"/>
      <c r="S18" s="177"/>
      <c r="T18" s="157">
        <f t="shared" si="0"/>
        <v>23877.720000000005</v>
      </c>
      <c r="U18" s="157">
        <f t="shared" si="1"/>
        <v>0</v>
      </c>
    </row>
    <row r="19" spans="1:23" ht="21.75" customHeight="1">
      <c r="A19" s="164"/>
      <c r="B19" s="165" t="s">
        <v>275</v>
      </c>
      <c r="C19" s="178" t="s">
        <v>276</v>
      </c>
      <c r="D19" s="175"/>
      <c r="E19" s="175"/>
      <c r="F19" s="175"/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6"/>
      <c r="S19" s="177"/>
      <c r="T19" s="157">
        <f t="shared" si="0"/>
        <v>0</v>
      </c>
      <c r="U19" s="157">
        <f t="shared" si="1"/>
        <v>0</v>
      </c>
    </row>
    <row r="20" spans="1:23" ht="21.75" customHeight="1">
      <c r="A20" s="164">
        <v>61</v>
      </c>
      <c r="B20"/>
      <c r="C20" s="179" t="s">
        <v>277</v>
      </c>
      <c r="D20" s="167">
        <v>70.8</v>
      </c>
      <c r="E20" s="167">
        <v>0</v>
      </c>
      <c r="F20" s="175">
        <v>0</v>
      </c>
      <c r="G20" s="167"/>
      <c r="H20" s="175"/>
      <c r="I20" s="167">
        <v>70.8</v>
      </c>
      <c r="J20" s="180">
        <v>53.77</v>
      </c>
      <c r="K20" s="167">
        <v>4.509999999999998</v>
      </c>
      <c r="L20" s="175"/>
      <c r="M20" s="175"/>
      <c r="N20" s="175"/>
      <c r="O20" s="167">
        <v>58.28</v>
      </c>
      <c r="P20" s="167">
        <v>12.519999999999996</v>
      </c>
      <c r="Q20" s="167">
        <v>17.029999999999994</v>
      </c>
      <c r="R20" s="169">
        <f>+Q20/10000000</f>
        <v>1.7029999999999994E-6</v>
      </c>
      <c r="S20" s="177">
        <v>77</v>
      </c>
      <c r="T20" s="157">
        <f t="shared" si="0"/>
        <v>70.8</v>
      </c>
      <c r="U20" s="157">
        <f t="shared" si="1"/>
        <v>0</v>
      </c>
    </row>
    <row r="21" spans="1:23" s="36" customFormat="1" ht="21.75" customHeight="1">
      <c r="A21" s="164"/>
      <c r="B21" s="165"/>
      <c r="C21" s="174" t="s">
        <v>274</v>
      </c>
      <c r="D21" s="175">
        <v>70.8</v>
      </c>
      <c r="E21" s="175">
        <v>0</v>
      </c>
      <c r="F21" s="175">
        <v>0</v>
      </c>
      <c r="G21" s="175">
        <v>0</v>
      </c>
      <c r="H21" s="175">
        <v>0</v>
      </c>
      <c r="I21" s="175">
        <f>D21+E21-F21</f>
        <v>70.8</v>
      </c>
      <c r="J21" s="175">
        <v>53.77</v>
      </c>
      <c r="K21" s="175">
        <v>4.509999999999998</v>
      </c>
      <c r="L21" s="175">
        <v>0</v>
      </c>
      <c r="M21" s="175">
        <v>0</v>
      </c>
      <c r="N21" s="175">
        <v>0</v>
      </c>
      <c r="O21" s="175">
        <f>J21+K21-L21</f>
        <v>58.28</v>
      </c>
      <c r="P21" s="175">
        <v>12.519999999999996</v>
      </c>
      <c r="Q21" s="175">
        <v>17.029999999999994</v>
      </c>
      <c r="R21" s="176"/>
      <c r="S21" s="177"/>
      <c r="T21" s="157">
        <f t="shared" si="0"/>
        <v>70.8</v>
      </c>
      <c r="U21" s="157">
        <f t="shared" si="1"/>
        <v>0</v>
      </c>
    </row>
    <row r="22" spans="1:23" ht="21.75" customHeight="1">
      <c r="A22" s="164">
        <v>81</v>
      </c>
      <c r="B22" s="165" t="s">
        <v>278</v>
      </c>
      <c r="C22" s="178" t="s">
        <v>279</v>
      </c>
      <c r="D22" s="167">
        <v>1128.78</v>
      </c>
      <c r="E22" s="167">
        <v>2006.5399999999997</v>
      </c>
      <c r="F22" s="167">
        <v>1851.77</v>
      </c>
      <c r="G22" s="167"/>
      <c r="H22" s="175"/>
      <c r="I22" s="167">
        <v>1283.55</v>
      </c>
      <c r="J22" s="167">
        <v>0</v>
      </c>
      <c r="K22" s="167">
        <v>0</v>
      </c>
      <c r="L22" s="175"/>
      <c r="M22" s="175"/>
      <c r="N22" s="175"/>
      <c r="O22" s="168">
        <v>0</v>
      </c>
      <c r="P22" s="167">
        <v>1283.55</v>
      </c>
      <c r="Q22" s="167">
        <v>1128.78</v>
      </c>
      <c r="R22" s="169">
        <f>+Q22/10000000</f>
        <v>1.12878E-4</v>
      </c>
      <c r="S22" s="177">
        <f>135497016729-135436760189</f>
        <v>60256540</v>
      </c>
      <c r="T22" s="157">
        <f t="shared" si="0"/>
        <v>1283.5499999999997</v>
      </c>
      <c r="U22" s="157">
        <f t="shared" si="1"/>
        <v>0</v>
      </c>
    </row>
    <row r="23" spans="1:23" s="36" customFormat="1" ht="21.75" customHeight="1">
      <c r="A23" s="164"/>
      <c r="B23" s="165"/>
      <c r="C23" s="174" t="s">
        <v>274</v>
      </c>
      <c r="D23" s="175">
        <v>1128.78</v>
      </c>
      <c r="E23" s="175">
        <v>2006.5399999999997</v>
      </c>
      <c r="F23" s="175">
        <v>1851.77</v>
      </c>
      <c r="G23" s="175">
        <v>0</v>
      </c>
      <c r="H23" s="175">
        <v>0</v>
      </c>
      <c r="I23" s="175">
        <f>D23+E23-F23</f>
        <v>1283.5499999999997</v>
      </c>
      <c r="J23" s="175">
        <v>0</v>
      </c>
      <c r="K23" s="175">
        <v>0</v>
      </c>
      <c r="L23" s="175">
        <v>0</v>
      </c>
      <c r="M23" s="175">
        <v>0</v>
      </c>
      <c r="N23" s="175">
        <v>0</v>
      </c>
      <c r="O23" s="175">
        <v>0</v>
      </c>
      <c r="P23" s="175">
        <v>1283.55</v>
      </c>
      <c r="Q23" s="175">
        <v>1128.78</v>
      </c>
      <c r="R23" s="176"/>
      <c r="S23" s="177">
        <f>S22/2</f>
        <v>30128270</v>
      </c>
      <c r="T23" s="157">
        <f t="shared" si="0"/>
        <v>1283.5499999999997</v>
      </c>
      <c r="U23" s="157">
        <f t="shared" si="1"/>
        <v>0</v>
      </c>
    </row>
    <row r="24" spans="1:23" ht="21.75" customHeight="1">
      <c r="A24" s="164"/>
      <c r="B24" s="165" t="s">
        <v>280</v>
      </c>
      <c r="C24" s="174" t="s">
        <v>281</v>
      </c>
      <c r="D24" s="175">
        <v>23325.19</v>
      </c>
      <c r="E24" s="175">
        <v>3781.7000000000016</v>
      </c>
      <c r="F24" s="175">
        <v>1874.82</v>
      </c>
      <c r="G24" s="175">
        <v>0</v>
      </c>
      <c r="H24" s="175">
        <v>0</v>
      </c>
      <c r="I24" s="175">
        <f>D24+E24-F24</f>
        <v>25232.07</v>
      </c>
      <c r="J24" s="175">
        <v>11252.769999999999</v>
      </c>
      <c r="K24" s="175">
        <v>907.83999999999992</v>
      </c>
      <c r="L24" s="175">
        <v>17.739999999999998</v>
      </c>
      <c r="M24" s="175">
        <v>0</v>
      </c>
      <c r="N24" s="175">
        <v>0</v>
      </c>
      <c r="O24" s="175">
        <f>J24+K24-L24</f>
        <v>12142.869999999999</v>
      </c>
      <c r="P24" s="175">
        <v>13089.2</v>
      </c>
      <c r="Q24" s="175">
        <v>12072.42</v>
      </c>
      <c r="R24" s="176"/>
      <c r="S24" s="177"/>
    </row>
    <row r="25" spans="1:23" s="187" customFormat="1" ht="21.75" customHeight="1">
      <c r="A25" s="181"/>
      <c r="B25" s="165"/>
      <c r="C25" s="182" t="s">
        <v>282</v>
      </c>
      <c r="D25" s="183">
        <v>21639.860000000004</v>
      </c>
      <c r="E25" s="184">
        <v>3526.7299999999987</v>
      </c>
      <c r="F25" s="184">
        <v>1841.4</v>
      </c>
      <c r="G25" s="184">
        <v>0</v>
      </c>
      <c r="H25" s="184">
        <v>0</v>
      </c>
      <c r="I25" s="175">
        <f>D25+E25-F25</f>
        <v>23325.190000000002</v>
      </c>
      <c r="J25" s="183">
        <v>10423.32</v>
      </c>
      <c r="K25" s="184">
        <v>842.12999999999988</v>
      </c>
      <c r="L25" s="184">
        <v>12.68</v>
      </c>
      <c r="M25" s="184">
        <v>0</v>
      </c>
      <c r="N25" s="184">
        <v>0</v>
      </c>
      <c r="O25" s="175">
        <f>J25+K25-L25</f>
        <v>11252.769999999999</v>
      </c>
      <c r="P25" s="184">
        <v>12072.42</v>
      </c>
      <c r="Q25" s="184">
        <v>11216.539999999997</v>
      </c>
      <c r="R25" s="185"/>
      <c r="S25" s="186"/>
      <c r="T25" s="157"/>
    </row>
    <row r="26" spans="1:23" s="187" customFormat="1" ht="21.75" customHeight="1">
      <c r="A26" s="188"/>
      <c r="B26" s="388" t="s">
        <v>283</v>
      </c>
      <c r="C26" s="388"/>
      <c r="D26" s="388"/>
      <c r="E26" s="388"/>
      <c r="F26" s="388"/>
      <c r="G26" s="388"/>
      <c r="H26" s="388"/>
      <c r="I26" s="388"/>
      <c r="J26" s="388"/>
      <c r="K26" s="388"/>
      <c r="L26" s="388"/>
      <c r="M26" s="388"/>
      <c r="N26" s="388"/>
      <c r="O26" s="388"/>
      <c r="P26" s="388"/>
      <c r="Q26" s="388"/>
      <c r="R26" s="189"/>
      <c r="S26" s="190"/>
      <c r="T26" s="157"/>
    </row>
    <row r="27" spans="1:23">
      <c r="A27" s="191"/>
      <c r="C27" s="22" t="s">
        <v>284</v>
      </c>
      <c r="D27" s="193">
        <f>D18+D21</f>
        <v>22196.41</v>
      </c>
      <c r="F27" s="195"/>
      <c r="G27" s="195"/>
      <c r="H27" s="195"/>
      <c r="I27" s="157"/>
      <c r="J27" s="157"/>
      <c r="K27" s="26">
        <f>K24-L24</f>
        <v>890.09999999999991</v>
      </c>
      <c r="S27"/>
      <c r="T27" s="157"/>
    </row>
    <row r="28" spans="1:23">
      <c r="A28" s="191"/>
      <c r="C28" s="22" t="s">
        <v>285</v>
      </c>
      <c r="D28" s="193">
        <f>I18+I21</f>
        <v>23948.520000000004</v>
      </c>
      <c r="E28" s="196"/>
      <c r="I28" s="157"/>
      <c r="K28" s="197"/>
      <c r="L28" s="157"/>
      <c r="P28" s="198"/>
      <c r="S28"/>
    </row>
    <row r="29" spans="1:23">
      <c r="A29" s="191"/>
      <c r="C29" s="22" t="s">
        <v>286</v>
      </c>
      <c r="D29" s="193">
        <f>J18+J21</f>
        <v>11252.769999999999</v>
      </c>
      <c r="F29" s="195"/>
      <c r="G29" s="195"/>
      <c r="H29" s="195"/>
      <c r="K29" s="26"/>
      <c r="L29" s="157"/>
      <c r="N29" s="199"/>
      <c r="O29" s="200"/>
      <c r="P29" s="157"/>
      <c r="S29"/>
    </row>
    <row r="30" spans="1:23">
      <c r="A30" s="191"/>
      <c r="C30" s="22" t="s">
        <v>287</v>
      </c>
      <c r="D30" s="193">
        <f>O18+O21</f>
        <v>12142.869999999999</v>
      </c>
      <c r="E30" s="201"/>
      <c r="F30" s="196"/>
      <c r="G30" s="196"/>
      <c r="H30" s="196"/>
      <c r="I30" s="195"/>
      <c r="K30" s="26"/>
      <c r="L30" s="157"/>
      <c r="N30" s="199"/>
      <c r="O30" s="202"/>
      <c r="S30"/>
    </row>
    <row r="31" spans="1:23">
      <c r="C31" s="22" t="s">
        <v>288</v>
      </c>
      <c r="D31" s="193">
        <f>'[23]CC Assets'!G17</f>
        <v>7599.8422141730025</v>
      </c>
      <c r="F31" s="195"/>
      <c r="H31" s="196"/>
      <c r="K31" s="26"/>
      <c r="L31" s="157"/>
    </row>
    <row r="32" spans="1:23">
      <c r="C32" s="22" t="s">
        <v>289</v>
      </c>
      <c r="D32" s="193">
        <f>'[23]CC Assets'!G18</f>
        <v>8614.4570634920019</v>
      </c>
      <c r="E32" s="203">
        <f>D32-D31</f>
        <v>1014.6148493189994</v>
      </c>
      <c r="F32" s="195"/>
      <c r="H32" s="196"/>
      <c r="K32" s="26"/>
      <c r="L32" s="157"/>
    </row>
    <row r="33" spans="1:19">
      <c r="A33" s="191"/>
      <c r="C33" s="22" t="s">
        <v>290</v>
      </c>
      <c r="D33" s="84">
        <f>'[23]CONSOLE SUMMARY'!E31</f>
        <v>3693.4126026258423</v>
      </c>
      <c r="E33" s="203">
        <f>D29-D33</f>
        <v>7559.3573973741568</v>
      </c>
      <c r="F33" s="195"/>
      <c r="G33"/>
      <c r="H33"/>
      <c r="I33" s="200"/>
      <c r="J33" s="200"/>
      <c r="K33" s="26"/>
      <c r="L33" s="157"/>
      <c r="P33" s="157"/>
      <c r="S33"/>
    </row>
    <row r="34" spans="1:19">
      <c r="C34" s="22" t="s">
        <v>291</v>
      </c>
      <c r="D34" s="193">
        <f>'[23]CONSOLE SUMMARY'!E32</f>
        <v>4121.9448333691071</v>
      </c>
      <c r="F34" s="195"/>
      <c r="G34"/>
      <c r="H34"/>
      <c r="I34" s="200"/>
      <c r="J34" s="200"/>
      <c r="K34" s="26"/>
      <c r="L34" s="200"/>
      <c r="P34" s="198"/>
    </row>
    <row r="35" spans="1:19">
      <c r="A35" s="191"/>
      <c r="C35" s="22" t="s">
        <v>292</v>
      </c>
      <c r="D35" s="193">
        <f>D28-D27</f>
        <v>1752.1100000000042</v>
      </c>
      <c r="E35" s="203"/>
      <c r="G35" s="200"/>
      <c r="H35" s="200"/>
      <c r="I35" s="200"/>
      <c r="J35" s="200"/>
      <c r="S35"/>
    </row>
    <row r="36" spans="1:19">
      <c r="C36" s="22" t="s">
        <v>293</v>
      </c>
      <c r="D36" s="193">
        <f>K25-L25</f>
        <v>829.44999999999993</v>
      </c>
      <c r="G36"/>
      <c r="H36"/>
      <c r="I36" s="200"/>
      <c r="J36" s="200"/>
      <c r="K36" s="204"/>
    </row>
    <row r="37" spans="1:19">
      <c r="C37" s="22" t="s">
        <v>294</v>
      </c>
      <c r="D37" s="193">
        <f>D30-D29</f>
        <v>890.10000000000036</v>
      </c>
      <c r="G37"/>
      <c r="H37"/>
      <c r="I37" s="200"/>
      <c r="J37" s="200"/>
      <c r="K37" s="205"/>
    </row>
    <row r="38" spans="1:19">
      <c r="A38" s="191"/>
      <c r="C38" s="22" t="s">
        <v>295</v>
      </c>
      <c r="D38" s="193">
        <v>378.52</v>
      </c>
      <c r="G38"/>
      <c r="H38"/>
      <c r="I38" s="200"/>
      <c r="J38" s="200"/>
      <c r="S38"/>
    </row>
    <row r="39" spans="1:19">
      <c r="C39" s="22" t="s">
        <v>296</v>
      </c>
      <c r="D39" s="193">
        <v>428.53</v>
      </c>
      <c r="G39"/>
      <c r="H39"/>
      <c r="I39" s="200"/>
      <c r="J39" s="157"/>
    </row>
    <row r="40" spans="1:19">
      <c r="C40" s="22" t="s">
        <v>297</v>
      </c>
      <c r="D40" s="193">
        <f>J24</f>
        <v>11252.769999999999</v>
      </c>
      <c r="G40"/>
      <c r="H40"/>
      <c r="I40" s="200"/>
      <c r="J40" s="157"/>
    </row>
    <row r="41" spans="1:19">
      <c r="C41" s="22" t="s">
        <v>298</v>
      </c>
      <c r="D41" s="193">
        <f>D40+K24-L24</f>
        <v>12142.869999999999</v>
      </c>
      <c r="G41"/>
      <c r="H41"/>
      <c r="I41" s="200"/>
      <c r="J41" s="202"/>
    </row>
    <row r="42" spans="1:19">
      <c r="C42" s="22" t="s">
        <v>299</v>
      </c>
      <c r="D42" s="193">
        <f>'[23]Fully Depreciated Assets'!F36</f>
        <v>540.61047804099996</v>
      </c>
      <c r="E42" s="203">
        <f>D42-D44</f>
        <v>530.0322854945</v>
      </c>
      <c r="G42"/>
      <c r="H42"/>
      <c r="I42" s="200"/>
      <c r="J42" s="157"/>
    </row>
    <row r="43" spans="1:19">
      <c r="C43" s="22" t="s">
        <v>300</v>
      </c>
      <c r="D43" s="193">
        <f>'[23]Fully Depreciated Assets'!G36</f>
        <v>595.29397093699993</v>
      </c>
      <c r="E43" s="203">
        <f>D43-D45</f>
        <v>574.52456439769992</v>
      </c>
      <c r="F43" s="194">
        <f>E43*25%</f>
        <v>143.63114109942498</v>
      </c>
      <c r="G43"/>
      <c r="H43"/>
      <c r="I43" s="200"/>
      <c r="J43" s="157"/>
    </row>
    <row r="44" spans="1:19">
      <c r="C44" s="22" t="s">
        <v>301</v>
      </c>
      <c r="D44" s="193">
        <f>'[23]fully dep CC assets'!F24</f>
        <v>10.578192546499952</v>
      </c>
      <c r="E44" s="203">
        <f>E43-E42</f>
        <v>44.492278903199917</v>
      </c>
      <c r="G44"/>
      <c r="H44"/>
      <c r="I44" s="200"/>
      <c r="J44" s="157"/>
    </row>
    <row r="45" spans="1:19">
      <c r="C45" s="22" t="s">
        <v>301</v>
      </c>
      <c r="D45" s="193">
        <f>'[23]fully dep CC assets'!G24</f>
        <v>20.769406539299958</v>
      </c>
      <c r="E45" s="194">
        <f>E44*25%</f>
        <v>11.123069725799979</v>
      </c>
      <c r="G45"/>
      <c r="H45"/>
      <c r="I45" s="200"/>
      <c r="J45" s="200"/>
    </row>
    <row r="46" spans="1:19" ht="45">
      <c r="C46" s="206" t="s">
        <v>302</v>
      </c>
      <c r="D46" s="82">
        <f>(D43-D45)-(D42-D44)</f>
        <v>44.492278903199917</v>
      </c>
      <c r="G46" s="207"/>
      <c r="H46" s="207"/>
      <c r="I46" s="208"/>
      <c r="J46" s="208"/>
    </row>
    <row r="47" spans="1:19">
      <c r="C47" s="209" t="s">
        <v>303</v>
      </c>
      <c r="G47"/>
      <c r="H47"/>
      <c r="I47" s="200"/>
      <c r="J47" s="202"/>
    </row>
    <row r="48" spans="1:19">
      <c r="G48"/>
      <c r="H48"/>
      <c r="I48" s="200"/>
    </row>
    <row r="49" spans="7:10">
      <c r="G49"/>
      <c r="H49"/>
      <c r="I49" s="200"/>
      <c r="J49" s="200"/>
    </row>
    <row r="50" spans="7:10">
      <c r="G50"/>
      <c r="H50"/>
      <c r="I50" s="200"/>
    </row>
  </sheetData>
  <mergeCells count="7">
    <mergeCell ref="B26:Q26"/>
    <mergeCell ref="B2:Q2"/>
    <mergeCell ref="B3:B4"/>
    <mergeCell ref="C3:C4"/>
    <mergeCell ref="D3:I3"/>
    <mergeCell ref="J3:O3"/>
    <mergeCell ref="P3:Q3"/>
  </mergeCells>
  <dataValidations count="1">
    <dataValidation allowBlank="1" sqref="G33:H50 JC33:JD50 SY33:SZ50 ACU33:ACV50 AMQ33:AMR50 AWM33:AWN50 BGI33:BGJ50 BQE33:BQF50 CAA33:CAB50 CJW33:CJX50 CTS33:CTT50 DDO33:DDP50 DNK33:DNL50 DXG33:DXH50 EHC33:EHD50 EQY33:EQZ50 FAU33:FAV50 FKQ33:FKR50 FUM33:FUN50 GEI33:GEJ50 GOE33:GOF50 GYA33:GYB50 HHW33:HHX50 HRS33:HRT50 IBO33:IBP50 ILK33:ILL50 IVG33:IVH50 JFC33:JFD50 JOY33:JOZ50 JYU33:JYV50 KIQ33:KIR50 KSM33:KSN50 LCI33:LCJ50 LME33:LMF50 LWA33:LWB50 MFW33:MFX50 MPS33:MPT50 MZO33:MZP50 NJK33:NJL50 NTG33:NTH50 ODC33:ODD50 OMY33:OMZ50 OWU33:OWV50 PGQ33:PGR50 PQM33:PQN50 QAI33:QAJ50 QKE33:QKF50 QUA33:QUB50 RDW33:RDX50 RNS33:RNT50 RXO33:RXP50 SHK33:SHL50 SRG33:SRH50 TBC33:TBD50 TKY33:TKZ50 TUU33:TUV50 UEQ33:UER50 UOM33:UON50 UYI33:UYJ50 VIE33:VIF50 VSA33:VSB50 WBW33:WBX50 WLS33:WLT50 WVO33:WVP50 G65569:H65586 JC65569:JD65586 SY65569:SZ65586 ACU65569:ACV65586 AMQ65569:AMR65586 AWM65569:AWN65586 BGI65569:BGJ65586 BQE65569:BQF65586 CAA65569:CAB65586 CJW65569:CJX65586 CTS65569:CTT65586 DDO65569:DDP65586 DNK65569:DNL65586 DXG65569:DXH65586 EHC65569:EHD65586 EQY65569:EQZ65586 FAU65569:FAV65586 FKQ65569:FKR65586 FUM65569:FUN65586 GEI65569:GEJ65586 GOE65569:GOF65586 GYA65569:GYB65586 HHW65569:HHX65586 HRS65569:HRT65586 IBO65569:IBP65586 ILK65569:ILL65586 IVG65569:IVH65586 JFC65569:JFD65586 JOY65569:JOZ65586 JYU65569:JYV65586 KIQ65569:KIR65586 KSM65569:KSN65586 LCI65569:LCJ65586 LME65569:LMF65586 LWA65569:LWB65586 MFW65569:MFX65586 MPS65569:MPT65586 MZO65569:MZP65586 NJK65569:NJL65586 NTG65569:NTH65586 ODC65569:ODD65586 OMY65569:OMZ65586 OWU65569:OWV65586 PGQ65569:PGR65586 PQM65569:PQN65586 QAI65569:QAJ65586 QKE65569:QKF65586 QUA65569:QUB65586 RDW65569:RDX65586 RNS65569:RNT65586 RXO65569:RXP65586 SHK65569:SHL65586 SRG65569:SRH65586 TBC65569:TBD65586 TKY65569:TKZ65586 TUU65569:TUV65586 UEQ65569:UER65586 UOM65569:UON65586 UYI65569:UYJ65586 VIE65569:VIF65586 VSA65569:VSB65586 WBW65569:WBX65586 WLS65569:WLT65586 WVO65569:WVP65586 G131105:H131122 JC131105:JD131122 SY131105:SZ131122 ACU131105:ACV131122 AMQ131105:AMR131122 AWM131105:AWN131122 BGI131105:BGJ131122 BQE131105:BQF131122 CAA131105:CAB131122 CJW131105:CJX131122 CTS131105:CTT131122 DDO131105:DDP131122 DNK131105:DNL131122 DXG131105:DXH131122 EHC131105:EHD131122 EQY131105:EQZ131122 FAU131105:FAV131122 FKQ131105:FKR131122 FUM131105:FUN131122 GEI131105:GEJ131122 GOE131105:GOF131122 GYA131105:GYB131122 HHW131105:HHX131122 HRS131105:HRT131122 IBO131105:IBP131122 ILK131105:ILL131122 IVG131105:IVH131122 JFC131105:JFD131122 JOY131105:JOZ131122 JYU131105:JYV131122 KIQ131105:KIR131122 KSM131105:KSN131122 LCI131105:LCJ131122 LME131105:LMF131122 LWA131105:LWB131122 MFW131105:MFX131122 MPS131105:MPT131122 MZO131105:MZP131122 NJK131105:NJL131122 NTG131105:NTH131122 ODC131105:ODD131122 OMY131105:OMZ131122 OWU131105:OWV131122 PGQ131105:PGR131122 PQM131105:PQN131122 QAI131105:QAJ131122 QKE131105:QKF131122 QUA131105:QUB131122 RDW131105:RDX131122 RNS131105:RNT131122 RXO131105:RXP131122 SHK131105:SHL131122 SRG131105:SRH131122 TBC131105:TBD131122 TKY131105:TKZ131122 TUU131105:TUV131122 UEQ131105:UER131122 UOM131105:UON131122 UYI131105:UYJ131122 VIE131105:VIF131122 VSA131105:VSB131122 WBW131105:WBX131122 WLS131105:WLT131122 WVO131105:WVP131122 G196641:H196658 JC196641:JD196658 SY196641:SZ196658 ACU196641:ACV196658 AMQ196641:AMR196658 AWM196641:AWN196658 BGI196641:BGJ196658 BQE196641:BQF196658 CAA196641:CAB196658 CJW196641:CJX196658 CTS196641:CTT196658 DDO196641:DDP196658 DNK196641:DNL196658 DXG196641:DXH196658 EHC196641:EHD196658 EQY196641:EQZ196658 FAU196641:FAV196658 FKQ196641:FKR196658 FUM196641:FUN196658 GEI196641:GEJ196658 GOE196641:GOF196658 GYA196641:GYB196658 HHW196641:HHX196658 HRS196641:HRT196658 IBO196641:IBP196658 ILK196641:ILL196658 IVG196641:IVH196658 JFC196641:JFD196658 JOY196641:JOZ196658 JYU196641:JYV196658 KIQ196641:KIR196658 KSM196641:KSN196658 LCI196641:LCJ196658 LME196641:LMF196658 LWA196641:LWB196658 MFW196641:MFX196658 MPS196641:MPT196658 MZO196641:MZP196658 NJK196641:NJL196658 NTG196641:NTH196658 ODC196641:ODD196658 OMY196641:OMZ196658 OWU196641:OWV196658 PGQ196641:PGR196658 PQM196641:PQN196658 QAI196641:QAJ196658 QKE196641:QKF196658 QUA196641:QUB196658 RDW196641:RDX196658 RNS196641:RNT196658 RXO196641:RXP196658 SHK196641:SHL196658 SRG196641:SRH196658 TBC196641:TBD196658 TKY196641:TKZ196658 TUU196641:TUV196658 UEQ196641:UER196658 UOM196641:UON196658 UYI196641:UYJ196658 VIE196641:VIF196658 VSA196641:VSB196658 WBW196641:WBX196658 WLS196641:WLT196658 WVO196641:WVP196658 G262177:H262194 JC262177:JD262194 SY262177:SZ262194 ACU262177:ACV262194 AMQ262177:AMR262194 AWM262177:AWN262194 BGI262177:BGJ262194 BQE262177:BQF262194 CAA262177:CAB262194 CJW262177:CJX262194 CTS262177:CTT262194 DDO262177:DDP262194 DNK262177:DNL262194 DXG262177:DXH262194 EHC262177:EHD262194 EQY262177:EQZ262194 FAU262177:FAV262194 FKQ262177:FKR262194 FUM262177:FUN262194 GEI262177:GEJ262194 GOE262177:GOF262194 GYA262177:GYB262194 HHW262177:HHX262194 HRS262177:HRT262194 IBO262177:IBP262194 ILK262177:ILL262194 IVG262177:IVH262194 JFC262177:JFD262194 JOY262177:JOZ262194 JYU262177:JYV262194 KIQ262177:KIR262194 KSM262177:KSN262194 LCI262177:LCJ262194 LME262177:LMF262194 LWA262177:LWB262194 MFW262177:MFX262194 MPS262177:MPT262194 MZO262177:MZP262194 NJK262177:NJL262194 NTG262177:NTH262194 ODC262177:ODD262194 OMY262177:OMZ262194 OWU262177:OWV262194 PGQ262177:PGR262194 PQM262177:PQN262194 QAI262177:QAJ262194 QKE262177:QKF262194 QUA262177:QUB262194 RDW262177:RDX262194 RNS262177:RNT262194 RXO262177:RXP262194 SHK262177:SHL262194 SRG262177:SRH262194 TBC262177:TBD262194 TKY262177:TKZ262194 TUU262177:TUV262194 UEQ262177:UER262194 UOM262177:UON262194 UYI262177:UYJ262194 VIE262177:VIF262194 VSA262177:VSB262194 WBW262177:WBX262194 WLS262177:WLT262194 WVO262177:WVP262194 G327713:H327730 JC327713:JD327730 SY327713:SZ327730 ACU327713:ACV327730 AMQ327713:AMR327730 AWM327713:AWN327730 BGI327713:BGJ327730 BQE327713:BQF327730 CAA327713:CAB327730 CJW327713:CJX327730 CTS327713:CTT327730 DDO327713:DDP327730 DNK327713:DNL327730 DXG327713:DXH327730 EHC327713:EHD327730 EQY327713:EQZ327730 FAU327713:FAV327730 FKQ327713:FKR327730 FUM327713:FUN327730 GEI327713:GEJ327730 GOE327713:GOF327730 GYA327713:GYB327730 HHW327713:HHX327730 HRS327713:HRT327730 IBO327713:IBP327730 ILK327713:ILL327730 IVG327713:IVH327730 JFC327713:JFD327730 JOY327713:JOZ327730 JYU327713:JYV327730 KIQ327713:KIR327730 KSM327713:KSN327730 LCI327713:LCJ327730 LME327713:LMF327730 LWA327713:LWB327730 MFW327713:MFX327730 MPS327713:MPT327730 MZO327713:MZP327730 NJK327713:NJL327730 NTG327713:NTH327730 ODC327713:ODD327730 OMY327713:OMZ327730 OWU327713:OWV327730 PGQ327713:PGR327730 PQM327713:PQN327730 QAI327713:QAJ327730 QKE327713:QKF327730 QUA327713:QUB327730 RDW327713:RDX327730 RNS327713:RNT327730 RXO327713:RXP327730 SHK327713:SHL327730 SRG327713:SRH327730 TBC327713:TBD327730 TKY327713:TKZ327730 TUU327713:TUV327730 UEQ327713:UER327730 UOM327713:UON327730 UYI327713:UYJ327730 VIE327713:VIF327730 VSA327713:VSB327730 WBW327713:WBX327730 WLS327713:WLT327730 WVO327713:WVP327730 G393249:H393266 JC393249:JD393266 SY393249:SZ393266 ACU393249:ACV393266 AMQ393249:AMR393266 AWM393249:AWN393266 BGI393249:BGJ393266 BQE393249:BQF393266 CAA393249:CAB393266 CJW393249:CJX393266 CTS393249:CTT393266 DDO393249:DDP393266 DNK393249:DNL393266 DXG393249:DXH393266 EHC393249:EHD393266 EQY393249:EQZ393266 FAU393249:FAV393266 FKQ393249:FKR393266 FUM393249:FUN393266 GEI393249:GEJ393266 GOE393249:GOF393266 GYA393249:GYB393266 HHW393249:HHX393266 HRS393249:HRT393266 IBO393249:IBP393266 ILK393249:ILL393266 IVG393249:IVH393266 JFC393249:JFD393266 JOY393249:JOZ393266 JYU393249:JYV393266 KIQ393249:KIR393266 KSM393249:KSN393266 LCI393249:LCJ393266 LME393249:LMF393266 LWA393249:LWB393266 MFW393249:MFX393266 MPS393249:MPT393266 MZO393249:MZP393266 NJK393249:NJL393266 NTG393249:NTH393266 ODC393249:ODD393266 OMY393249:OMZ393266 OWU393249:OWV393266 PGQ393249:PGR393266 PQM393249:PQN393266 QAI393249:QAJ393266 QKE393249:QKF393266 QUA393249:QUB393266 RDW393249:RDX393266 RNS393249:RNT393266 RXO393249:RXP393266 SHK393249:SHL393266 SRG393249:SRH393266 TBC393249:TBD393266 TKY393249:TKZ393266 TUU393249:TUV393266 UEQ393249:UER393266 UOM393249:UON393266 UYI393249:UYJ393266 VIE393249:VIF393266 VSA393249:VSB393266 WBW393249:WBX393266 WLS393249:WLT393266 WVO393249:WVP393266 G458785:H458802 JC458785:JD458802 SY458785:SZ458802 ACU458785:ACV458802 AMQ458785:AMR458802 AWM458785:AWN458802 BGI458785:BGJ458802 BQE458785:BQF458802 CAA458785:CAB458802 CJW458785:CJX458802 CTS458785:CTT458802 DDO458785:DDP458802 DNK458785:DNL458802 DXG458785:DXH458802 EHC458785:EHD458802 EQY458785:EQZ458802 FAU458785:FAV458802 FKQ458785:FKR458802 FUM458785:FUN458802 GEI458785:GEJ458802 GOE458785:GOF458802 GYA458785:GYB458802 HHW458785:HHX458802 HRS458785:HRT458802 IBO458785:IBP458802 ILK458785:ILL458802 IVG458785:IVH458802 JFC458785:JFD458802 JOY458785:JOZ458802 JYU458785:JYV458802 KIQ458785:KIR458802 KSM458785:KSN458802 LCI458785:LCJ458802 LME458785:LMF458802 LWA458785:LWB458802 MFW458785:MFX458802 MPS458785:MPT458802 MZO458785:MZP458802 NJK458785:NJL458802 NTG458785:NTH458802 ODC458785:ODD458802 OMY458785:OMZ458802 OWU458785:OWV458802 PGQ458785:PGR458802 PQM458785:PQN458802 QAI458785:QAJ458802 QKE458785:QKF458802 QUA458785:QUB458802 RDW458785:RDX458802 RNS458785:RNT458802 RXO458785:RXP458802 SHK458785:SHL458802 SRG458785:SRH458802 TBC458785:TBD458802 TKY458785:TKZ458802 TUU458785:TUV458802 UEQ458785:UER458802 UOM458785:UON458802 UYI458785:UYJ458802 VIE458785:VIF458802 VSA458785:VSB458802 WBW458785:WBX458802 WLS458785:WLT458802 WVO458785:WVP458802 G524321:H524338 JC524321:JD524338 SY524321:SZ524338 ACU524321:ACV524338 AMQ524321:AMR524338 AWM524321:AWN524338 BGI524321:BGJ524338 BQE524321:BQF524338 CAA524321:CAB524338 CJW524321:CJX524338 CTS524321:CTT524338 DDO524321:DDP524338 DNK524321:DNL524338 DXG524321:DXH524338 EHC524321:EHD524338 EQY524321:EQZ524338 FAU524321:FAV524338 FKQ524321:FKR524338 FUM524321:FUN524338 GEI524321:GEJ524338 GOE524321:GOF524338 GYA524321:GYB524338 HHW524321:HHX524338 HRS524321:HRT524338 IBO524321:IBP524338 ILK524321:ILL524338 IVG524321:IVH524338 JFC524321:JFD524338 JOY524321:JOZ524338 JYU524321:JYV524338 KIQ524321:KIR524338 KSM524321:KSN524338 LCI524321:LCJ524338 LME524321:LMF524338 LWA524321:LWB524338 MFW524321:MFX524338 MPS524321:MPT524338 MZO524321:MZP524338 NJK524321:NJL524338 NTG524321:NTH524338 ODC524321:ODD524338 OMY524321:OMZ524338 OWU524321:OWV524338 PGQ524321:PGR524338 PQM524321:PQN524338 QAI524321:QAJ524338 QKE524321:QKF524338 QUA524321:QUB524338 RDW524321:RDX524338 RNS524321:RNT524338 RXO524321:RXP524338 SHK524321:SHL524338 SRG524321:SRH524338 TBC524321:TBD524338 TKY524321:TKZ524338 TUU524321:TUV524338 UEQ524321:UER524338 UOM524321:UON524338 UYI524321:UYJ524338 VIE524321:VIF524338 VSA524321:VSB524338 WBW524321:WBX524338 WLS524321:WLT524338 WVO524321:WVP524338 G589857:H589874 JC589857:JD589874 SY589857:SZ589874 ACU589857:ACV589874 AMQ589857:AMR589874 AWM589857:AWN589874 BGI589857:BGJ589874 BQE589857:BQF589874 CAA589857:CAB589874 CJW589857:CJX589874 CTS589857:CTT589874 DDO589857:DDP589874 DNK589857:DNL589874 DXG589857:DXH589874 EHC589857:EHD589874 EQY589857:EQZ589874 FAU589857:FAV589874 FKQ589857:FKR589874 FUM589857:FUN589874 GEI589857:GEJ589874 GOE589857:GOF589874 GYA589857:GYB589874 HHW589857:HHX589874 HRS589857:HRT589874 IBO589857:IBP589874 ILK589857:ILL589874 IVG589857:IVH589874 JFC589857:JFD589874 JOY589857:JOZ589874 JYU589857:JYV589874 KIQ589857:KIR589874 KSM589857:KSN589874 LCI589857:LCJ589874 LME589857:LMF589874 LWA589857:LWB589874 MFW589857:MFX589874 MPS589857:MPT589874 MZO589857:MZP589874 NJK589857:NJL589874 NTG589857:NTH589874 ODC589857:ODD589874 OMY589857:OMZ589874 OWU589857:OWV589874 PGQ589857:PGR589874 PQM589857:PQN589874 QAI589857:QAJ589874 QKE589857:QKF589874 QUA589857:QUB589874 RDW589857:RDX589874 RNS589857:RNT589874 RXO589857:RXP589874 SHK589857:SHL589874 SRG589857:SRH589874 TBC589857:TBD589874 TKY589857:TKZ589874 TUU589857:TUV589874 UEQ589857:UER589874 UOM589857:UON589874 UYI589857:UYJ589874 VIE589857:VIF589874 VSA589857:VSB589874 WBW589857:WBX589874 WLS589857:WLT589874 WVO589857:WVP589874 G655393:H655410 JC655393:JD655410 SY655393:SZ655410 ACU655393:ACV655410 AMQ655393:AMR655410 AWM655393:AWN655410 BGI655393:BGJ655410 BQE655393:BQF655410 CAA655393:CAB655410 CJW655393:CJX655410 CTS655393:CTT655410 DDO655393:DDP655410 DNK655393:DNL655410 DXG655393:DXH655410 EHC655393:EHD655410 EQY655393:EQZ655410 FAU655393:FAV655410 FKQ655393:FKR655410 FUM655393:FUN655410 GEI655393:GEJ655410 GOE655393:GOF655410 GYA655393:GYB655410 HHW655393:HHX655410 HRS655393:HRT655410 IBO655393:IBP655410 ILK655393:ILL655410 IVG655393:IVH655410 JFC655393:JFD655410 JOY655393:JOZ655410 JYU655393:JYV655410 KIQ655393:KIR655410 KSM655393:KSN655410 LCI655393:LCJ655410 LME655393:LMF655410 LWA655393:LWB655410 MFW655393:MFX655410 MPS655393:MPT655410 MZO655393:MZP655410 NJK655393:NJL655410 NTG655393:NTH655410 ODC655393:ODD655410 OMY655393:OMZ655410 OWU655393:OWV655410 PGQ655393:PGR655410 PQM655393:PQN655410 QAI655393:QAJ655410 QKE655393:QKF655410 QUA655393:QUB655410 RDW655393:RDX655410 RNS655393:RNT655410 RXO655393:RXP655410 SHK655393:SHL655410 SRG655393:SRH655410 TBC655393:TBD655410 TKY655393:TKZ655410 TUU655393:TUV655410 UEQ655393:UER655410 UOM655393:UON655410 UYI655393:UYJ655410 VIE655393:VIF655410 VSA655393:VSB655410 WBW655393:WBX655410 WLS655393:WLT655410 WVO655393:WVP655410 G720929:H720946 JC720929:JD720946 SY720929:SZ720946 ACU720929:ACV720946 AMQ720929:AMR720946 AWM720929:AWN720946 BGI720929:BGJ720946 BQE720929:BQF720946 CAA720929:CAB720946 CJW720929:CJX720946 CTS720929:CTT720946 DDO720929:DDP720946 DNK720929:DNL720946 DXG720929:DXH720946 EHC720929:EHD720946 EQY720929:EQZ720946 FAU720929:FAV720946 FKQ720929:FKR720946 FUM720929:FUN720946 GEI720929:GEJ720946 GOE720929:GOF720946 GYA720929:GYB720946 HHW720929:HHX720946 HRS720929:HRT720946 IBO720929:IBP720946 ILK720929:ILL720946 IVG720929:IVH720946 JFC720929:JFD720946 JOY720929:JOZ720946 JYU720929:JYV720946 KIQ720929:KIR720946 KSM720929:KSN720946 LCI720929:LCJ720946 LME720929:LMF720946 LWA720929:LWB720946 MFW720929:MFX720946 MPS720929:MPT720946 MZO720929:MZP720946 NJK720929:NJL720946 NTG720929:NTH720946 ODC720929:ODD720946 OMY720929:OMZ720946 OWU720929:OWV720946 PGQ720929:PGR720946 PQM720929:PQN720946 QAI720929:QAJ720946 QKE720929:QKF720946 QUA720929:QUB720946 RDW720929:RDX720946 RNS720929:RNT720946 RXO720929:RXP720946 SHK720929:SHL720946 SRG720929:SRH720946 TBC720929:TBD720946 TKY720929:TKZ720946 TUU720929:TUV720946 UEQ720929:UER720946 UOM720929:UON720946 UYI720929:UYJ720946 VIE720929:VIF720946 VSA720929:VSB720946 WBW720929:WBX720946 WLS720929:WLT720946 WVO720929:WVP720946 G786465:H786482 JC786465:JD786482 SY786465:SZ786482 ACU786465:ACV786482 AMQ786465:AMR786482 AWM786465:AWN786482 BGI786465:BGJ786482 BQE786465:BQF786482 CAA786465:CAB786482 CJW786465:CJX786482 CTS786465:CTT786482 DDO786465:DDP786482 DNK786465:DNL786482 DXG786465:DXH786482 EHC786465:EHD786482 EQY786465:EQZ786482 FAU786465:FAV786482 FKQ786465:FKR786482 FUM786465:FUN786482 GEI786465:GEJ786482 GOE786465:GOF786482 GYA786465:GYB786482 HHW786465:HHX786482 HRS786465:HRT786482 IBO786465:IBP786482 ILK786465:ILL786482 IVG786465:IVH786482 JFC786465:JFD786482 JOY786465:JOZ786482 JYU786465:JYV786482 KIQ786465:KIR786482 KSM786465:KSN786482 LCI786465:LCJ786482 LME786465:LMF786482 LWA786465:LWB786482 MFW786465:MFX786482 MPS786465:MPT786482 MZO786465:MZP786482 NJK786465:NJL786482 NTG786465:NTH786482 ODC786465:ODD786482 OMY786465:OMZ786482 OWU786465:OWV786482 PGQ786465:PGR786482 PQM786465:PQN786482 QAI786465:QAJ786482 QKE786465:QKF786482 QUA786465:QUB786482 RDW786465:RDX786482 RNS786465:RNT786482 RXO786465:RXP786482 SHK786465:SHL786482 SRG786465:SRH786482 TBC786465:TBD786482 TKY786465:TKZ786482 TUU786465:TUV786482 UEQ786465:UER786482 UOM786465:UON786482 UYI786465:UYJ786482 VIE786465:VIF786482 VSA786465:VSB786482 WBW786465:WBX786482 WLS786465:WLT786482 WVO786465:WVP786482 G852001:H852018 JC852001:JD852018 SY852001:SZ852018 ACU852001:ACV852018 AMQ852001:AMR852018 AWM852001:AWN852018 BGI852001:BGJ852018 BQE852001:BQF852018 CAA852001:CAB852018 CJW852001:CJX852018 CTS852001:CTT852018 DDO852001:DDP852018 DNK852001:DNL852018 DXG852001:DXH852018 EHC852001:EHD852018 EQY852001:EQZ852018 FAU852001:FAV852018 FKQ852001:FKR852018 FUM852001:FUN852018 GEI852001:GEJ852018 GOE852001:GOF852018 GYA852001:GYB852018 HHW852001:HHX852018 HRS852001:HRT852018 IBO852001:IBP852018 ILK852001:ILL852018 IVG852001:IVH852018 JFC852001:JFD852018 JOY852001:JOZ852018 JYU852001:JYV852018 KIQ852001:KIR852018 KSM852001:KSN852018 LCI852001:LCJ852018 LME852001:LMF852018 LWA852001:LWB852018 MFW852001:MFX852018 MPS852001:MPT852018 MZO852001:MZP852018 NJK852001:NJL852018 NTG852001:NTH852018 ODC852001:ODD852018 OMY852001:OMZ852018 OWU852001:OWV852018 PGQ852001:PGR852018 PQM852001:PQN852018 QAI852001:QAJ852018 QKE852001:QKF852018 QUA852001:QUB852018 RDW852001:RDX852018 RNS852001:RNT852018 RXO852001:RXP852018 SHK852001:SHL852018 SRG852001:SRH852018 TBC852001:TBD852018 TKY852001:TKZ852018 TUU852001:TUV852018 UEQ852001:UER852018 UOM852001:UON852018 UYI852001:UYJ852018 VIE852001:VIF852018 VSA852001:VSB852018 WBW852001:WBX852018 WLS852001:WLT852018 WVO852001:WVP852018 G917537:H917554 JC917537:JD917554 SY917537:SZ917554 ACU917537:ACV917554 AMQ917537:AMR917554 AWM917537:AWN917554 BGI917537:BGJ917554 BQE917537:BQF917554 CAA917537:CAB917554 CJW917537:CJX917554 CTS917537:CTT917554 DDO917537:DDP917554 DNK917537:DNL917554 DXG917537:DXH917554 EHC917537:EHD917554 EQY917537:EQZ917554 FAU917537:FAV917554 FKQ917537:FKR917554 FUM917537:FUN917554 GEI917537:GEJ917554 GOE917537:GOF917554 GYA917537:GYB917554 HHW917537:HHX917554 HRS917537:HRT917554 IBO917537:IBP917554 ILK917537:ILL917554 IVG917537:IVH917554 JFC917537:JFD917554 JOY917537:JOZ917554 JYU917537:JYV917554 KIQ917537:KIR917554 KSM917537:KSN917554 LCI917537:LCJ917554 LME917537:LMF917554 LWA917537:LWB917554 MFW917537:MFX917554 MPS917537:MPT917554 MZO917537:MZP917554 NJK917537:NJL917554 NTG917537:NTH917554 ODC917537:ODD917554 OMY917537:OMZ917554 OWU917537:OWV917554 PGQ917537:PGR917554 PQM917537:PQN917554 QAI917537:QAJ917554 QKE917537:QKF917554 QUA917537:QUB917554 RDW917537:RDX917554 RNS917537:RNT917554 RXO917537:RXP917554 SHK917537:SHL917554 SRG917537:SRH917554 TBC917537:TBD917554 TKY917537:TKZ917554 TUU917537:TUV917554 UEQ917537:UER917554 UOM917537:UON917554 UYI917537:UYJ917554 VIE917537:VIF917554 VSA917537:VSB917554 WBW917537:WBX917554 WLS917537:WLT917554 WVO917537:WVP917554 G983073:H983090 JC983073:JD983090 SY983073:SZ983090 ACU983073:ACV983090 AMQ983073:AMR983090 AWM983073:AWN983090 BGI983073:BGJ983090 BQE983073:BQF983090 CAA983073:CAB983090 CJW983073:CJX983090 CTS983073:CTT983090 DDO983073:DDP983090 DNK983073:DNL983090 DXG983073:DXH983090 EHC983073:EHD983090 EQY983073:EQZ983090 FAU983073:FAV983090 FKQ983073:FKR983090 FUM983073:FUN983090 GEI983073:GEJ983090 GOE983073:GOF983090 GYA983073:GYB983090 HHW983073:HHX983090 HRS983073:HRT983090 IBO983073:IBP983090 ILK983073:ILL983090 IVG983073:IVH983090 JFC983073:JFD983090 JOY983073:JOZ983090 JYU983073:JYV983090 KIQ983073:KIR983090 KSM983073:KSN983090 LCI983073:LCJ983090 LME983073:LMF983090 LWA983073:LWB983090 MFW983073:MFX983090 MPS983073:MPT983090 MZO983073:MZP983090 NJK983073:NJL983090 NTG983073:NTH983090 ODC983073:ODD983090 OMY983073:OMZ983090 OWU983073:OWV983090 PGQ983073:PGR983090 PQM983073:PQN983090 QAI983073:QAJ983090 QKE983073:QKF983090 QUA983073:QUB983090 RDW983073:RDX983090 RNS983073:RNT983090 RXO983073:RXP983090 SHK983073:SHL983090 SRG983073:SRH983090 TBC983073:TBD983090 TKY983073:TKZ983090 TUU983073:TUV983090 UEQ983073:UER983090 UOM983073:UON983090 UYI983073:UYJ983090 VIE983073:VIF983090 VSA983073:VSB983090 WBW983073:WBX983090 WLS983073:WLT983090 WVO983073:WVP983090"/>
  </dataValidations>
  <pageMargins left="0.7" right="0.7" top="0.75" bottom="0.75" header="0.3" footer="0.3"/>
  <pageSetup orientation="portrait" r:id="rId1"/>
  <legacyDrawing r:id="rId2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</vt:i4>
      </vt:variant>
    </vt:vector>
  </HeadingPairs>
  <TitlesOfParts>
    <vt:vector size="15" baseType="lpstr">
      <vt:lpstr>Summary</vt:lpstr>
      <vt:lpstr>O&amp;M Expenses</vt:lpstr>
      <vt:lpstr>NTI</vt:lpstr>
      <vt:lpstr>RoE</vt:lpstr>
      <vt:lpstr>Interest and finance charges </vt:lpstr>
      <vt:lpstr>Interest on Working Capital</vt:lpstr>
      <vt:lpstr>CPI-WPI</vt:lpstr>
      <vt:lpstr>Actual Loans</vt:lpstr>
      <vt:lpstr>Fixed Assets</vt:lpstr>
      <vt:lpstr>Depreciation Calculation</vt:lpstr>
      <vt:lpstr>Dep. Schedule</vt:lpstr>
      <vt:lpstr>SP_Wheeling</vt:lpstr>
      <vt:lpstr>Sheet1</vt:lpstr>
      <vt:lpstr>'Actual Loans'!Print_Area</vt:lpstr>
      <vt:lpstr>'Actual Loans'!Print_Titles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Koganti, Trinath</dc:creator>
  <cp:lastModifiedBy>AAORAC</cp:lastModifiedBy>
  <cp:revision/>
  <dcterms:created xsi:type="dcterms:W3CDTF">2015-06-05T18:17:20Z</dcterms:created>
  <dcterms:modified xsi:type="dcterms:W3CDTF">2025-12-16T08:32:15Z</dcterms:modified>
</cp:coreProperties>
</file>